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CE Owner\Dropbox\My PC (PC)\Desktop\Wild BB UMaine Extension Enterprise Budgets &amp; Updates\CONV15-FRZ\"/>
    </mc:Choice>
  </mc:AlternateContent>
  <bookViews>
    <workbookView xWindow="0" yWindow="0" windowWidth="24000" windowHeight="9135" tabRatio="616"/>
  </bookViews>
  <sheets>
    <sheet name="Wild BB-CONV 15 acres-FRZ" sheetId="11" r:id="rId1"/>
  </sheets>
  <definedNames>
    <definedName name="_RF1">#REF!</definedName>
    <definedName name="_RF2">#REF!</definedName>
    <definedName name="acres">#REF!</definedName>
    <definedName name="Acres_per_hour">#REF!</definedName>
    <definedName name="Acres_per_year">#REF!</definedName>
    <definedName name="Assumed_acres_per_hour">#REF!</definedName>
    <definedName name="Assumed_Application_Rate">#REF!</definedName>
    <definedName name="Assumed_Cost">#REF!</definedName>
    <definedName name="Assumed_gallons_per_hour">#REF!</definedName>
    <definedName name="Assumed_Implement">#REF!</definedName>
    <definedName name="Assumed_Passes">#REF!</definedName>
    <definedName name="Assumed_Percentage_Rate">#REF!</definedName>
    <definedName name="Assumed_Price">#REF!</definedName>
    <definedName name="Assumed_Quantity">#REF!</definedName>
    <definedName name="Assumed_Yield">#REF!</definedName>
    <definedName name="Baling_Straw">#REF!</definedName>
    <definedName name="Chilean_Nitrate">#REF!</definedName>
    <definedName name="Choose_Your_Input">#REF!</definedName>
    <definedName name="Clover_Seed_for_Green_Manure">#REF!</definedName>
    <definedName name="Combine">#REF!</definedName>
    <definedName name="Combining">#REF!</definedName>
    <definedName name="cost">#REF!</definedName>
    <definedName name="Cost_Acre">#REF!</definedName>
    <definedName name="Cost_per_acre">#REF!</definedName>
    <definedName name="Cost_Unit">#REF!</definedName>
    <definedName name="Crop_Insurance">#REF!</definedName>
    <definedName name="Current_Acres_per_hour">#REF!</definedName>
    <definedName name="Current_acres_per_year">#REF!</definedName>
    <definedName name="Current_Application_Rate">#REF!</definedName>
    <definedName name="Current_Cost">#REF!</definedName>
    <definedName name="Current_Field_Efficieny">#REF!</definedName>
    <definedName name="Current_Gallons_per_hour">#REF!</definedName>
    <definedName name="Current_Implement">#REF!</definedName>
    <definedName name="Current_implement_Lifetime_Repair">#REF!</definedName>
    <definedName name="Current_Implement_Speed">#REF!</definedName>
    <definedName name="Current_list_Price">#REF!</definedName>
    <definedName name="Current_passes">#REF!</definedName>
    <definedName name="Current_Percentage_Rate">#REF!</definedName>
    <definedName name="Current_Price">#REF!</definedName>
    <definedName name="Current_PTO_HP">#REF!</definedName>
    <definedName name="Current_Purchase_age">#REF!</definedName>
    <definedName name="Current_Quantity">#REF!</definedName>
    <definedName name="Current_Repair_per_hour">#REF!</definedName>
    <definedName name="Current_Retirement_age">#REF!</definedName>
    <definedName name="Current_RF1">#REF!</definedName>
    <definedName name="Current_RF2">#REF!</definedName>
    <definedName name="Current_width">#REF!</definedName>
    <definedName name="Dehydrated_Chicken">#REF!</definedName>
    <definedName name="Dryer_Beginning_moisture">#REF!</definedName>
    <definedName name="Dryer_BTU_gal">#REF!</definedName>
    <definedName name="Dryer_BTU_kwh">#REF!</definedName>
    <definedName name="Dryer_BTU_lb">#REF!</definedName>
    <definedName name="Dryer_Bushels_per_year">#REF!</definedName>
    <definedName name="Dryer_Capacity">#REF!</definedName>
    <definedName name="dryer_electric_cost">#REF!</definedName>
    <definedName name="dryer_electric_proportion">#REF!</definedName>
    <definedName name="Dryer_electricity_price">#REF!</definedName>
    <definedName name="Dryer_Ending_moisture">#REF!</definedName>
    <definedName name="Dryer_Initial_investment">#REF!</definedName>
    <definedName name="Dryer_Labor_Cost">#REF!</definedName>
    <definedName name="Dryer_Labor_percent_time">#REF!</definedName>
    <definedName name="Dryer_lb_water_bu">#REF!</definedName>
    <definedName name="dryer_propane_cost">#REF!</definedName>
    <definedName name="Dryer_propane_price">#REF!</definedName>
    <definedName name="dryer_repair_cost">#REF!</definedName>
    <definedName name="Dryer_repair_percent">#REF!</definedName>
    <definedName name="Drying_System">#REF!</definedName>
    <definedName name="Extra_Expenses">#REF!</definedName>
    <definedName name="Fertilizer_Spreading">#REF!</definedName>
    <definedName name="Field_Efficiency">#REF!</definedName>
    <definedName name="field_operation_cost_per_acre">#REF!</definedName>
    <definedName name="Fuel_gal_acre">#REF!</definedName>
    <definedName name="Fuel_Oil_Cost">#REF!</definedName>
    <definedName name="fuel_price">#REF!</definedName>
    <definedName name="Gallons_per_hour">#REF!</definedName>
    <definedName name="Grain_Drying">#REF!</definedName>
    <definedName name="Grain_Planting">#REF!</definedName>
    <definedName name="Harrow">#REF!</definedName>
    <definedName name="Hauling_Straw">#REF!</definedName>
    <definedName name="Hauling_Wheat">#REF!</definedName>
    <definedName name="Hours_per_year">#REF!</definedName>
    <definedName name="Implement">#REF!</definedName>
    <definedName name="Implement_category_number">#REF!</definedName>
    <definedName name="Implement_parameters">#REF!</definedName>
    <definedName name="Implement_Repair_per_hour">#REF!</definedName>
    <definedName name="Implement_speed">#REF!</definedName>
    <definedName name="Interest_on_Variable_Costs">#REF!</definedName>
    <definedName name="Labor_Cost">#REF!</definedName>
    <definedName name="labor_wage">#REF!</definedName>
    <definedName name="land_price">#REF!</definedName>
    <definedName name="land_rent_rate">#REF!</definedName>
    <definedName name="Leased_Land">#REF!</definedName>
    <definedName name="Lely">#REF!</definedName>
    <definedName name="lely_pass">#REF!</definedName>
    <definedName name="lely_pass_cost">#REF!</definedName>
    <definedName name="Lifetime_Repair">#REF!</definedName>
    <definedName name="Lime">#REF!</definedName>
    <definedName name="Lime_Spreading">#REF!</definedName>
    <definedName name="List_Price">#REF!</definedName>
    <definedName name="Maint._Cost">#REF!</definedName>
    <definedName name="Manure">#REF!</definedName>
    <definedName name="Manure_Material_Price">#REF!</definedName>
    <definedName name="Manure_Spreading">#REF!</definedName>
    <definedName name="material_cost_per_acre">#REF!</definedName>
    <definedName name="Material_Inputs">#REF!</definedName>
    <definedName name="misc_expense_rate">#REF!</definedName>
    <definedName name="miscellaneous_cost_A_per_acre">#REF!</definedName>
    <definedName name="Organic_Certification">#REF!</definedName>
    <definedName name="Planting_Clover">#REF!</definedName>
    <definedName name="Planting_Wheat">#REF!</definedName>
    <definedName name="Power_Source_HP">#REF!</definedName>
    <definedName name="Pre_Interest_Cost">#REF!</definedName>
    <definedName name="pre_misc_cost">#REF!,#REF!,#REF!,#REF!</definedName>
    <definedName name="Primary_Till">#REF!</definedName>
    <definedName name="Primary_Tillage">#REF!</definedName>
    <definedName name="_xlnm.Print_Area" localSheetId="0">'Wild BB-CONV 15 acres-FRZ'!$A$1:$J$111</definedName>
    <definedName name="Purchase_Age">#REF!</definedName>
    <definedName name="Repair_per_hour">#REF!</definedName>
    <definedName name="Retirement_Age">#REF!</definedName>
    <definedName name="Revenue">#REF!</definedName>
    <definedName name="Revenue_Acre">#REF!</definedName>
    <definedName name="Revenue_Unit">#REF!</definedName>
    <definedName name="Secondary_Tillage">#REF!</definedName>
    <definedName name="Straw">#REF!</definedName>
    <definedName name="straw_price">#REF!</definedName>
    <definedName name="straw_yield">#REF!</definedName>
    <definedName name="Subtotal_Field_Operation">#REF!</definedName>
    <definedName name="Subtotal_Material">#REF!</definedName>
    <definedName name="Subtotal_Miscellaneous">#REF!</definedName>
    <definedName name="Survey_acres_per_hour">#REF!</definedName>
    <definedName name="Survey_Choice">#REF!</definedName>
    <definedName name="Total_Cost">#REF!</definedName>
    <definedName name="Total_Cost_dol_acre">#REF!</definedName>
    <definedName name="total_cost_per_acre">#REF!</definedName>
    <definedName name="Total_Revenue">#REF!</definedName>
    <definedName name="total_revenue_per_acre">#REF!</definedName>
    <definedName name="Tractor_category_number">#REF!</definedName>
    <definedName name="Tractor_performance">#REF!</definedName>
    <definedName name="Tractor_PTO_HP">#REF!</definedName>
    <definedName name="Tractor_Repair_per_hour">#REF!</definedName>
    <definedName name="Truck_average_mph">#REF!</definedName>
    <definedName name="Truck_carrying_capacity">#REF!</definedName>
    <definedName name="Truck_shipping_distance">#REF!</definedName>
    <definedName name="Truck_shipping_price">#REF!</definedName>
    <definedName name="Unit">#REF!</definedName>
    <definedName name="Unit_Acre">#REF!</definedName>
    <definedName name="wheat_haul_pass">#REF!</definedName>
    <definedName name="wheat_haul_pass_cost">#REF!</definedName>
    <definedName name="wheat_price">#REF!</definedName>
    <definedName name="Wheat_Seed">#REF!</definedName>
    <definedName name="wheat_yield">#REF!</definedName>
    <definedName name="Width_of_implement">#REF!</definedName>
    <definedName name="Your_acres_per_hour">#REF!</definedName>
    <definedName name="Your_Application_Rate">#REF!</definedName>
    <definedName name="Your_Cost">#REF!</definedName>
    <definedName name="Your_gallons_per_hour">#REF!</definedName>
    <definedName name="Your_Implement">#REF!</definedName>
    <definedName name="Your_Passes">#REF!</definedName>
    <definedName name="Your_Percentage_Rate">#REF!</definedName>
    <definedName name="Your_Price">#REF!</definedName>
    <definedName name="Your_Quantity">#REF!</definedName>
    <definedName name="Your_Yield">#REF!</definedName>
  </definedNames>
  <calcPr calcId="152511"/>
  <customWorkbookViews>
    <customWorkbookView name="print" guid="{6888C946-AD09-47AA-9419-308DFFEE42E6}" includeHiddenRowCol="0" maximized="1" xWindow="1" yWindow="1" windowWidth="1680" windowHeight="829" activeSheetId="9"/>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H104" i="11" l="1"/>
  <c r="G104" i="11"/>
  <c r="B104" i="11"/>
  <c r="H103" i="11"/>
  <c r="G103" i="11"/>
  <c r="B103" i="11"/>
  <c r="G102" i="11"/>
  <c r="B102" i="11"/>
  <c r="H101" i="11"/>
  <c r="G101" i="11"/>
  <c r="B101" i="11"/>
  <c r="H99" i="11"/>
  <c r="G99" i="11"/>
  <c r="B99" i="11"/>
  <c r="H98" i="11"/>
  <c r="G98" i="11"/>
  <c r="B98" i="11"/>
  <c r="H97" i="11"/>
  <c r="G97" i="11"/>
  <c r="B97" i="11"/>
  <c r="H96" i="11"/>
  <c r="G96" i="11"/>
  <c r="B96" i="11"/>
  <c r="H95" i="11"/>
  <c r="G95" i="11"/>
  <c r="B95" i="11"/>
  <c r="H106" i="11"/>
  <c r="G106" i="11"/>
  <c r="B106" i="11"/>
  <c r="H94" i="11"/>
  <c r="G94" i="11"/>
  <c r="B94" i="11"/>
  <c r="G105" i="11" l="1"/>
  <c r="A101" i="11" l="1"/>
  <c r="B105" i="11" l="1"/>
  <c r="D92" i="11" l="1"/>
  <c r="G30" i="11" l="1"/>
  <c r="H30" i="11" s="1"/>
  <c r="I30" i="11" l="1"/>
  <c r="G32" i="11" l="1"/>
  <c r="I32" i="11" s="1"/>
  <c r="G29" i="11"/>
  <c r="I29" i="11" s="1"/>
  <c r="G31" i="11"/>
  <c r="I31" i="11" s="1"/>
  <c r="H32" i="11" l="1"/>
  <c r="H29" i="11"/>
  <c r="H31" i="11"/>
  <c r="G54" i="11" l="1"/>
  <c r="I54" i="11" s="1"/>
  <c r="H54" i="11" l="1"/>
  <c r="G47" i="11"/>
  <c r="I47" i="11" s="1"/>
  <c r="H47" i="11" l="1"/>
  <c r="G23" i="11"/>
  <c r="I23" i="11" l="1"/>
  <c r="H23" i="11"/>
  <c r="A1" i="11"/>
  <c r="G58" i="11" l="1"/>
  <c r="I58" i="11" s="1"/>
  <c r="G25" i="11"/>
  <c r="I25" i="11" s="1"/>
  <c r="G24" i="11"/>
  <c r="H25" i="11" l="1"/>
  <c r="H58" i="11"/>
  <c r="B53" i="11"/>
  <c r="G53" i="11" s="1"/>
  <c r="B52" i="11"/>
  <c r="G52" i="11" s="1"/>
  <c r="I52" i="11" s="1"/>
  <c r="I53" i="11" l="1"/>
  <c r="H53" i="11"/>
  <c r="G11" i="11" l="1"/>
  <c r="B92" i="11" l="1"/>
  <c r="I11" i="11"/>
  <c r="G33" i="11"/>
  <c r="G5" i="11"/>
  <c r="H5" i="11" s="1"/>
  <c r="H11" i="11"/>
  <c r="G35" i="11"/>
  <c r="H35" i="11" s="1"/>
  <c r="G57" i="11"/>
  <c r="H57" i="11" s="1"/>
  <c r="H52" i="11"/>
  <c r="G55" i="11"/>
  <c r="H55" i="11" s="1"/>
  <c r="G44" i="11"/>
  <c r="H44" i="11" s="1"/>
  <c r="G56" i="11"/>
  <c r="H56" i="11" s="1"/>
  <c r="G51" i="11"/>
  <c r="H51" i="11" s="1"/>
  <c r="G50" i="11"/>
  <c r="H50" i="11" s="1"/>
  <c r="G49" i="11"/>
  <c r="H49" i="11" s="1"/>
  <c r="G48" i="11"/>
  <c r="H48" i="11" s="1"/>
  <c r="G46" i="11"/>
  <c r="H46" i="11" s="1"/>
  <c r="G45" i="11"/>
  <c r="H45" i="11" s="1"/>
  <c r="G43" i="11"/>
  <c r="H43" i="11" s="1"/>
  <c r="G42" i="11"/>
  <c r="H42" i="11" s="1"/>
  <c r="G41" i="11"/>
  <c r="H41" i="11" s="1"/>
  <c r="G40" i="11"/>
  <c r="H40" i="11" s="1"/>
  <c r="G39" i="11"/>
  <c r="H24" i="11"/>
  <c r="G18" i="11"/>
  <c r="G20" i="11"/>
  <c r="G19" i="11"/>
  <c r="H19" i="11" s="1"/>
  <c r="G17" i="11"/>
  <c r="G16" i="11"/>
  <c r="G15" i="11"/>
  <c r="G14" i="11"/>
  <c r="G13" i="11"/>
  <c r="G63" i="11"/>
  <c r="H63" i="11" s="1"/>
  <c r="G62" i="11"/>
  <c r="H62" i="11" s="1"/>
  <c r="G36" i="11"/>
  <c r="H36" i="11" s="1"/>
  <c r="G34" i="11"/>
  <c r="H34" i="11" s="1"/>
  <c r="I15" i="11" l="1"/>
  <c r="I20" i="11"/>
  <c r="H33" i="11"/>
  <c r="H37" i="11" s="1"/>
  <c r="G37" i="11"/>
  <c r="I63" i="11"/>
  <c r="I62" i="11"/>
  <c r="I64" i="11" s="1"/>
  <c r="I33" i="11"/>
  <c r="I19" i="11"/>
  <c r="H18" i="11"/>
  <c r="H16" i="11"/>
  <c r="I16" i="11"/>
  <c r="I44" i="11"/>
  <c r="H39" i="11"/>
  <c r="H59" i="11" s="1"/>
  <c r="G59" i="11"/>
  <c r="H13" i="11"/>
  <c r="G26" i="11"/>
  <c r="H17" i="11"/>
  <c r="I55" i="11"/>
  <c r="I49" i="11"/>
  <c r="I39" i="11"/>
  <c r="I43" i="11"/>
  <c r="B107" i="11"/>
  <c r="H14" i="11"/>
  <c r="I36" i="11"/>
  <c r="H87" i="11" s="1"/>
  <c r="I56" i="11"/>
  <c r="I48" i="11"/>
  <c r="I42" i="11"/>
  <c r="H15" i="11"/>
  <c r="H20" i="11"/>
  <c r="I13" i="11"/>
  <c r="I17" i="11"/>
  <c r="I35" i="11"/>
  <c r="H88" i="11" s="1"/>
  <c r="I57" i="11"/>
  <c r="I51" i="11"/>
  <c r="I46" i="11"/>
  <c r="I41" i="11"/>
  <c r="G107" i="11"/>
  <c r="I14" i="11"/>
  <c r="I18" i="11"/>
  <c r="I24" i="11"/>
  <c r="I34" i="11"/>
  <c r="I50" i="11"/>
  <c r="I45" i="11"/>
  <c r="I40" i="11"/>
  <c r="G64" i="11"/>
  <c r="I5" i="11"/>
  <c r="H64" i="11"/>
  <c r="F104" i="11" l="1"/>
  <c r="D104" i="11"/>
  <c r="D103" i="11"/>
  <c r="F103" i="11"/>
  <c r="D102" i="11"/>
  <c r="F102" i="11"/>
  <c r="D101" i="11"/>
  <c r="F101" i="11"/>
  <c r="D99" i="11"/>
  <c r="F99" i="11"/>
  <c r="D98" i="11"/>
  <c r="F98" i="11"/>
  <c r="D97" i="11"/>
  <c r="F97" i="11"/>
  <c r="D96" i="11"/>
  <c r="F96" i="11"/>
  <c r="D95" i="11"/>
  <c r="F95" i="11"/>
  <c r="D106" i="11"/>
  <c r="F106" i="11"/>
  <c r="F94" i="11"/>
  <c r="D94" i="11"/>
  <c r="D105" i="11"/>
  <c r="I59" i="11"/>
  <c r="H26" i="11"/>
  <c r="H60" i="11" s="1"/>
  <c r="H66" i="11" s="1"/>
  <c r="I26" i="11"/>
  <c r="I37" i="11"/>
  <c r="G60" i="11"/>
  <c r="G66" i="11" s="1"/>
  <c r="F105" i="11"/>
  <c r="H107" i="11"/>
  <c r="I99" i="11" l="1"/>
  <c r="I97" i="11"/>
  <c r="I105" i="11"/>
  <c r="I98" i="11"/>
  <c r="I96" i="11"/>
  <c r="I101" i="11"/>
  <c r="I102" i="11"/>
  <c r="I106" i="11"/>
  <c r="I103" i="11"/>
  <c r="I95" i="11"/>
  <c r="I104" i="11"/>
  <c r="I60" i="11"/>
  <c r="F107" i="11"/>
  <c r="G6" i="11"/>
  <c r="I74" i="11" l="1"/>
  <c r="I66" i="11"/>
  <c r="I73" i="11" s="1"/>
  <c r="H6" i="11"/>
  <c r="H7" i="11" s="1"/>
  <c r="I6" i="11"/>
  <c r="I7" i="11" s="1"/>
  <c r="I70" i="11" s="1"/>
  <c r="G7" i="11"/>
  <c r="I69" i="11" l="1"/>
  <c r="D69" i="11"/>
  <c r="D70" i="11"/>
  <c r="D107" i="11" l="1"/>
  <c r="G73" i="11" l="1"/>
  <c r="H73" i="11" s="1"/>
  <c r="G74" i="11"/>
  <c r="H74" i="11" s="1"/>
  <c r="F70" i="11"/>
  <c r="G70" i="11" s="1"/>
  <c r="F69" i="11"/>
  <c r="G69" i="11" s="1"/>
  <c r="H70" i="11" l="1"/>
  <c r="J70" i="11"/>
  <c r="H69" i="11"/>
  <c r="J69" i="11"/>
  <c r="I94" i="11"/>
  <c r="I107" i="11"/>
</calcChain>
</file>

<file path=xl/comments1.xml><?xml version="1.0" encoding="utf-8"?>
<comments xmlns="http://schemas.openxmlformats.org/spreadsheetml/2006/main">
  <authors>
    <author>CE Owner</author>
  </authors>
  <commentList>
    <comment ref="G11" authorId="0" shapeId="0">
      <text>
        <r>
          <rPr>
            <b/>
            <sz val="9"/>
            <color indexed="81"/>
            <rFont val="Tahoma"/>
            <family val="2"/>
          </rPr>
          <t>This is the cost of fertilizer applied during both prune year and fruiting year</t>
        </r>
      </text>
    </comment>
    <comment ref="G94" authorId="0" shapeId="0">
      <text>
        <r>
          <rPr>
            <b/>
            <sz val="9"/>
            <color indexed="81"/>
            <rFont val="Tahoma"/>
            <family val="2"/>
          </rPr>
          <t>Include entire depreciation on small-sized tractor so this is not split with other implements using this tractor
Also includes older farm truck, propane tank burner on dolly, propane torch, 1 250-gallon water tank, small-sized water tank pump, 4 Indian backpack water tanks, and 1 small-sized trailer for water tank</t>
        </r>
      </text>
    </comment>
    <comment ref="H94" authorId="0" shapeId="0">
      <text>
        <r>
          <rPr>
            <b/>
            <sz val="9"/>
            <color indexed="81"/>
            <rFont val="Tahoma"/>
            <family val="2"/>
          </rPr>
          <t>Straw for burning</t>
        </r>
      </text>
    </comment>
    <comment ref="G95" authorId="0" shapeId="0">
      <text>
        <r>
          <rPr>
            <b/>
            <sz val="9"/>
            <color indexed="81"/>
            <rFont val="Tahoma"/>
            <family val="2"/>
          </rPr>
          <t>Include entire depreciation on small-sized tractor so this is not split with other implements using this tractor
Includes fertilizer spreader</t>
        </r>
      </text>
    </comment>
    <comment ref="H95" authorId="0" shapeId="0">
      <text>
        <r>
          <rPr>
            <b/>
            <sz val="9"/>
            <color indexed="81"/>
            <rFont val="Tahoma"/>
            <family val="2"/>
          </rPr>
          <t>Includes MAP and DAP on prune acres
There is no DAP on fruiting acres</t>
        </r>
      </text>
    </comment>
    <comment ref="G96" authorId="0" shapeId="0">
      <text>
        <r>
          <rPr>
            <b/>
            <sz val="9"/>
            <color indexed="81"/>
            <rFont val="Tahoma"/>
            <family val="2"/>
          </rPr>
          <t>Include entire depreciation on small-sized tractor so this is not split with other implements using this tractor
Includes fertilizer spreader</t>
        </r>
      </text>
    </comment>
    <comment ref="H96" authorId="0" shapeId="0">
      <text>
        <r>
          <rPr>
            <b/>
            <sz val="9"/>
            <color indexed="81"/>
            <rFont val="Tahoma"/>
            <family val="2"/>
          </rPr>
          <t>Sulfur for lowering pH</t>
        </r>
      </text>
    </comment>
    <comment ref="G97" authorId="0" shapeId="0">
      <text>
        <r>
          <rPr>
            <b/>
            <sz val="9"/>
            <color indexed="81"/>
            <rFont val="Tahoma"/>
            <family val="2"/>
          </rPr>
          <t>Include entire depreciation on small-sized tractor so this is not split with other implements using this tractor
Also includes small-sized pull-behind boom sprayer, backpack sprayer, as well as chem suit
Also includes apron for mixing as well as 3 warning signs</t>
        </r>
      </text>
    </comment>
    <comment ref="H97" authorId="0" shapeId="0">
      <text>
        <r>
          <rPr>
            <b/>
            <sz val="9"/>
            <color indexed="81"/>
            <rFont val="Tahoma"/>
            <family val="2"/>
          </rPr>
          <t>Includes Velpar, Callisto, Diuron, and Sinbar plus adjuvants as Fastbreak Defoamer and Grounded</t>
        </r>
      </text>
    </comment>
    <comment ref="G98" authorId="0" shapeId="0">
      <text>
        <r>
          <rPr>
            <b/>
            <sz val="9"/>
            <color indexed="81"/>
            <rFont val="Tahoma"/>
            <family val="2"/>
          </rPr>
          <t>Include entire depreciation on small-sized tractor so this is not split with other implements using this tractor
Also includes small-sized pull-behind boom sprayer, backpack sprayer, as well as chem suit
Also includes apron for mixing as well as 3 warning signs</t>
        </r>
      </text>
    </comment>
    <comment ref="H98" authorId="0" shapeId="0">
      <text>
        <r>
          <rPr>
            <b/>
            <sz val="9"/>
            <color indexed="81"/>
            <rFont val="Tahoma"/>
            <family val="2"/>
          </rPr>
          <t>Includes Select, Arrow, and Callisto plus adjuvant as crop oil 
Does NOT include Bravo as a tonic</t>
        </r>
      </text>
    </comment>
    <comment ref="G99" authorId="0" shapeId="0">
      <text>
        <r>
          <rPr>
            <b/>
            <sz val="9"/>
            <color indexed="81"/>
            <rFont val="Tahoma"/>
            <family val="2"/>
          </rPr>
          <t>Includes wiper buggy, 1 hand wiper, 1 wiper sleeve, 1 bucket, and 2 gloves for hand wiping
Also includes 1 brush saw/cutter, 1 weed wacker, 1 chainsaw, and 1 chainsaw safety equipment</t>
        </r>
      </text>
    </comment>
    <comment ref="H99" authorId="0" shapeId="0">
      <text>
        <r>
          <rPr>
            <b/>
            <sz val="9"/>
            <color indexed="81"/>
            <rFont val="Tahoma"/>
            <family val="2"/>
          </rPr>
          <t>Includes Roundup as well as adjuvants as ammonium sulfate and greenhouse grade fertilizer</t>
        </r>
      </text>
    </comment>
    <comment ref="G101" authorId="0" shapeId="0">
      <text>
        <r>
          <rPr>
            <b/>
            <sz val="9"/>
            <color indexed="81"/>
            <rFont val="Tahoma"/>
            <family val="2"/>
          </rPr>
          <t>Include entire depreciation on small-sized tractor so this is not split with other implements using this tractor
Also includes small-sized pull-behind boom sprayer, backpack sprayer, as well as chem suit
Also includes apron for mixing as well as 3 warning signs</t>
        </r>
      </text>
    </comment>
    <comment ref="H101" authorId="0" shapeId="0">
      <text>
        <r>
          <rPr>
            <b/>
            <sz val="9"/>
            <color indexed="81"/>
            <rFont val="Tahoma"/>
            <family val="2"/>
          </rPr>
          <t xml:space="preserve">Includes Bumper and adjuvant as faskbreak defoamer for fruit year
</t>
        </r>
      </text>
    </comment>
    <comment ref="G102" authorId="0" shapeId="0">
      <text>
        <r>
          <rPr>
            <b/>
            <sz val="9"/>
            <color indexed="81"/>
            <rFont val="Tahoma"/>
            <family val="2"/>
          </rPr>
          <t>Includes older farm truck
Assume producer owns 1 battery, 1 charger, 1 electrified fence, 1 plastic tool box to weather proof, and 1 voltage tester and these are also included</t>
        </r>
      </text>
    </comment>
    <comment ref="H102" authorId="0" shapeId="0">
      <text>
        <r>
          <rPr>
            <b/>
            <sz val="9"/>
            <color indexed="81"/>
            <rFont val="Tahoma"/>
            <family val="2"/>
          </rPr>
          <t>Assume this is $0 since no other materials used</t>
        </r>
      </text>
    </comment>
    <comment ref="G103" authorId="0" shapeId="0">
      <text>
        <r>
          <rPr>
            <b/>
            <sz val="9"/>
            <color indexed="81"/>
            <rFont val="Tahoma"/>
            <family val="2"/>
          </rPr>
          <t>Includes ATV</t>
        </r>
      </text>
    </comment>
    <comment ref="H103" authorId="0" shapeId="0">
      <text>
        <r>
          <rPr>
            <b/>
            <sz val="9"/>
            <color indexed="81"/>
            <rFont val="Tahoma"/>
            <family val="2"/>
          </rPr>
          <t>Includes container of traps and 8 trap stakes
Also includes sweep net</t>
        </r>
      </text>
    </comment>
    <comment ref="G104" authorId="0" shapeId="0">
      <text>
        <r>
          <rPr>
            <b/>
            <sz val="9"/>
            <color indexed="81"/>
            <rFont val="Tahoma"/>
            <family val="2"/>
          </rPr>
          <t>Include entire depreciation on small-sized tractor so this is not split with other implements using this tractor
Also includes air blast backpack sprayer, pull-behind airblast sprayer for tractor, as well as chem suit
Also includes apron for mixing as well as 3 warning signs</t>
        </r>
      </text>
    </comment>
    <comment ref="H104" authorId="0" shapeId="0">
      <text>
        <r>
          <rPr>
            <b/>
            <sz val="9"/>
            <color indexed="81"/>
            <rFont val="Tahoma"/>
            <family val="2"/>
          </rPr>
          <t>Includes Imidan and adjuvants as odor mask, foam marker, and de-foamer</t>
        </r>
      </text>
    </comment>
    <comment ref="G105" authorId="0" shapeId="0">
      <text>
        <r>
          <rPr>
            <b/>
            <sz val="9"/>
            <color indexed="81"/>
            <rFont val="Tahoma"/>
            <family val="2"/>
          </rPr>
          <t>Include entire depreciation on medium-sized tractor so this is not split with other implements using this tractor
Includes walk-behind mechanized harvester 
Also includes 5-ton truck and trailer</t>
        </r>
      </text>
    </comment>
    <comment ref="H105" authorId="0" shapeId="0">
      <text>
        <r>
          <rPr>
            <b/>
            <sz val="9"/>
            <color indexed="81"/>
            <rFont val="Tahoma"/>
            <family val="2"/>
          </rPr>
          <t>Assume this is $0 since no other materials used</t>
        </r>
      </text>
    </comment>
    <comment ref="G106" authorId="0" shapeId="0">
      <text>
        <r>
          <rPr>
            <b/>
            <sz val="9"/>
            <color indexed="81"/>
            <rFont val="Tahoma"/>
            <family val="2"/>
          </rPr>
          <t>Include entire depreciation on small-sized tractor so this is not split with other implements using this tractor
Also includes older farm truck, propane tank burner on dolly, propane torch, 1 250-gallon water tank, small-sized water tank pump, 4 Indian backpack water tanks, and 1 small-sized trailer for water tank</t>
        </r>
      </text>
    </comment>
    <comment ref="H106" authorId="0" shapeId="0">
      <text>
        <r>
          <rPr>
            <b/>
            <sz val="9"/>
            <color indexed="81"/>
            <rFont val="Tahoma"/>
            <family val="2"/>
          </rPr>
          <t>Straw for burning</t>
        </r>
      </text>
    </comment>
  </commentList>
</comments>
</file>

<file path=xl/sharedStrings.xml><?xml version="1.0" encoding="utf-8"?>
<sst xmlns="http://schemas.openxmlformats.org/spreadsheetml/2006/main" count="176" uniqueCount="129">
  <si>
    <r>
      <t xml:space="preserve">Material </t>
    </r>
    <r>
      <rPr>
        <b/>
        <i/>
        <sz val="10"/>
        <color indexed="8"/>
        <rFont val="Calibri"/>
        <family val="2"/>
      </rPr>
      <t>Costs</t>
    </r>
    <phoneticPr fontId="2" type="noConversion"/>
  </si>
  <si>
    <r>
      <t xml:space="preserve">Field Operation </t>
    </r>
    <r>
      <rPr>
        <b/>
        <i/>
        <sz val="10"/>
        <color indexed="8"/>
        <rFont val="Calibri"/>
        <family val="2"/>
      </rPr>
      <t>Costs</t>
    </r>
    <r>
      <rPr>
        <b/>
        <i/>
        <sz val="10"/>
        <color theme="1"/>
        <rFont val="Calibri"/>
        <family val="2"/>
        <scheme val="minor"/>
      </rPr>
      <t xml:space="preserve"> (see reverse side for details)</t>
    </r>
    <phoneticPr fontId="2" type="noConversion"/>
  </si>
  <si>
    <r>
      <t xml:space="preserve">Miscellanceous </t>
    </r>
    <r>
      <rPr>
        <b/>
        <i/>
        <sz val="10"/>
        <color indexed="8"/>
        <rFont val="Calibri"/>
        <family val="2"/>
      </rPr>
      <t>Costs</t>
    </r>
    <phoneticPr fontId="2" type="noConversion"/>
  </si>
  <si>
    <t>Total Variable Costs</t>
    <phoneticPr fontId="2" type="noConversion"/>
  </si>
  <si>
    <r>
      <t>Net Farm Income</t>
    </r>
    <r>
      <rPr>
        <b/>
        <sz val="10"/>
        <color indexed="8"/>
        <rFont val="Calibri"/>
        <family val="2"/>
      </rPr>
      <t xml:space="preserve"> </t>
    </r>
    <r>
      <rPr>
        <sz val="10"/>
        <color indexed="8"/>
        <rFont val="Calibri"/>
        <family val="2"/>
      </rPr>
      <t>($/acre)</t>
    </r>
    <phoneticPr fontId="2" type="noConversion"/>
  </si>
  <si>
    <r>
      <t>Return over Variable Cost</t>
    </r>
    <r>
      <rPr>
        <b/>
        <sz val="10"/>
        <color indexed="8"/>
        <rFont val="Calibri"/>
        <family val="2"/>
      </rPr>
      <t xml:space="preserve"> </t>
    </r>
    <r>
      <rPr>
        <sz val="10"/>
        <color indexed="8"/>
        <rFont val="Calibri"/>
        <family val="2"/>
      </rPr>
      <t>($/acre)</t>
    </r>
    <phoneticPr fontId="2" type="noConversion"/>
  </si>
  <si>
    <t>Fertilizer</t>
    <phoneticPr fontId="2" type="noConversion"/>
  </si>
  <si>
    <t>Crop Production</t>
    <phoneticPr fontId="2" type="noConversion"/>
  </si>
  <si>
    <t>Total Cost/acre</t>
    <phoneticPr fontId="2" type="noConversion"/>
  </si>
  <si>
    <t>Variable Costs</t>
  </si>
  <si>
    <t>Revenue/Acre</t>
  </si>
  <si>
    <t>Total Revenue</t>
  </si>
  <si>
    <t>Fixed Costs</t>
  </si>
  <si>
    <t>Total Fixed Costs</t>
  </si>
  <si>
    <t>Maintenance and Repair</t>
  </si>
  <si>
    <t>Please see reverse side for NOTES.</t>
  </si>
  <si>
    <t>Questions or Comments:</t>
    <phoneticPr fontId="2" type="noConversion"/>
  </si>
  <si>
    <t>NOTES regarding the enterprise budget:</t>
  </si>
  <si>
    <t>Subtotal</t>
  </si>
  <si>
    <t>Specific assumptions and estimates used:</t>
    <phoneticPr fontId="2" type="noConversion"/>
  </si>
  <si>
    <t>Variable and fixed costs are included:</t>
    <phoneticPr fontId="2" type="noConversion"/>
  </si>
  <si>
    <t>Annual Revenue</t>
  </si>
  <si>
    <t>Depreciation and Interest</t>
  </si>
  <si>
    <t>Tax and Insurance</t>
  </si>
  <si>
    <t>Total Annual Cost</t>
  </si>
  <si>
    <t>Long-run to Cover All Costs</t>
  </si>
  <si>
    <t>Short-run to Cover Operating Costs</t>
  </si>
  <si>
    <t>Total Field Operation Expenses</t>
    <phoneticPr fontId="2" type="noConversion"/>
  </si>
  <si>
    <t>Price/unit</t>
  </si>
  <si>
    <t>=</t>
  </si>
  <si>
    <t>Cost/Acre</t>
  </si>
  <si>
    <t>Wild Blueberry Yield (pounds)</t>
  </si>
  <si>
    <t>Other (                     )</t>
  </si>
  <si>
    <t>-</t>
  </si>
  <si>
    <t>×</t>
  </si>
  <si>
    <t>Revenue/Pound</t>
  </si>
  <si>
    <t>Cost/Pound</t>
  </si>
  <si>
    <t>Please Contact Aaron Hoshide by phone (207) 659-4808 or email: aaron.hoshide@maine.edu</t>
  </si>
  <si>
    <t>Crop Protection</t>
  </si>
  <si>
    <t>Fungicides</t>
  </si>
  <si>
    <t>Herbicides (Pre-Merge)</t>
  </si>
  <si>
    <t>Herbicides (Post-Merge)</t>
  </si>
  <si>
    <t>Herbicides (Wiping)</t>
  </si>
  <si>
    <t>Insecticides</t>
  </si>
  <si>
    <t>Write your own figures or notes here</t>
  </si>
  <si>
    <t>Pollination ($/hive)</t>
  </si>
  <si>
    <t>Insect Traps ($/trap)</t>
  </si>
  <si>
    <t>Sulfur ($/ton) every 7.5 years</t>
  </si>
  <si>
    <t>Burning for Pruning</t>
  </si>
  <si>
    <t>Straw</t>
  </si>
  <si>
    <t>Fuel Oil ($/gallon)</t>
  </si>
  <si>
    <t>Total or Unit/Acre</t>
  </si>
  <si>
    <t>Heating ($/gallon)</t>
  </si>
  <si>
    <t>Advertising and Marketing</t>
  </si>
  <si>
    <t>Certification</t>
  </si>
  <si>
    <t>Conferences</t>
  </si>
  <si>
    <t>Dues and Fees</t>
  </si>
  <si>
    <t>Fire Permit</t>
  </si>
  <si>
    <t>Legal and Accounting</t>
  </si>
  <si>
    <t>Licenses</t>
  </si>
  <si>
    <t>Phone Bill</t>
  </si>
  <si>
    <t>Registration (Vehicles)</t>
  </si>
  <si>
    <t>Supplies</t>
  </si>
  <si>
    <t>Travel</t>
  </si>
  <si>
    <t>Trash Removal</t>
  </si>
  <si>
    <t>Utilities</t>
  </si>
  <si>
    <t>Price/Pound</t>
  </si>
  <si>
    <r>
      <t>Farm Performance Measures (</t>
    </r>
    <r>
      <rPr>
        <i/>
        <sz val="10"/>
        <color theme="1"/>
        <rFont val="Calibri"/>
        <family val="2"/>
        <scheme val="minor"/>
      </rPr>
      <t>Breakeven Revenue)</t>
    </r>
    <r>
      <rPr>
        <b/>
        <sz val="10"/>
        <color theme="1"/>
        <rFont val="Calibri"/>
        <family val="2"/>
        <scheme val="minor"/>
      </rPr>
      <t xml:space="preserve"> </t>
    </r>
  </si>
  <si>
    <r>
      <t>Wild blueberry yields</t>
    </r>
    <r>
      <rPr>
        <sz val="11"/>
        <rFont val="Calibri"/>
        <family val="2"/>
        <scheme val="minor"/>
      </rPr>
      <t xml:space="preserve"> - Based on historical</t>
    </r>
    <r>
      <rPr>
        <sz val="11"/>
        <rFont val="Calibri"/>
        <family val="2"/>
      </rPr>
      <t xml:space="preserve"> yields as well as yields surveyed from cooperating producers</t>
    </r>
    <r>
      <rPr>
        <sz val="11"/>
        <rFont val="Calibri"/>
        <family val="2"/>
        <scheme val="minor"/>
      </rPr>
      <t>.</t>
    </r>
  </si>
  <si>
    <t xml:space="preserve">Sulfur - Assumes that sulfur is applied 1 in 7.5 years at rate of 0.193 ton per acre which equals 386 pounds per acre. </t>
  </si>
  <si>
    <t>Leased land - Assumes that 0% of crop area is leased and 100% owned.</t>
  </si>
  <si>
    <r>
      <t xml:space="preserve">Diesel Fuel </t>
    </r>
    <r>
      <rPr>
        <sz val="10"/>
        <color indexed="8"/>
        <rFont val="Calibri"/>
        <family val="2"/>
      </rPr>
      <t>($/gal)</t>
    </r>
  </si>
  <si>
    <t>Oil</t>
  </si>
  <si>
    <t xml:space="preserve">The purpose of this enterprise budget is to provide an economic framework for evaluating wild blueberry production. Variable costs include material expenses, miscellaneous expenses, and field operation expenses. Fixed costs refer to capital depreciation, land, taxes and insurance.  </t>
  </si>
  <si>
    <r>
      <t>Fixed costs are aggregated from a more detailed itemized budget for this model. Caution, the cost of equipment can vary dramatically and for this budget. I</t>
    </r>
    <r>
      <rPr>
        <sz val="11"/>
        <color indexed="8"/>
        <rFont val="Calibri"/>
        <family val="2"/>
        <scheme val="minor"/>
      </rPr>
      <t>t is assumed that all equipment is purchased new and replaced at the end of its time allotted depreciation cycle.  For example, owning and operating a used piece of equipment beyond it's normal depreciation cycle can reduce the depr</t>
    </r>
    <r>
      <rPr>
        <sz val="11"/>
        <color indexed="8"/>
        <rFont val="Calibri"/>
        <family val="2"/>
      </rPr>
      <t>e</t>
    </r>
    <r>
      <rPr>
        <sz val="11"/>
        <color indexed="8"/>
        <rFont val="Calibri"/>
        <family val="2"/>
        <scheme val="minor"/>
      </rPr>
      <t>c</t>
    </r>
    <r>
      <rPr>
        <sz val="11"/>
        <color indexed="8"/>
        <rFont val="Calibri"/>
        <family val="2"/>
      </rPr>
      <t>iation</t>
    </r>
    <r>
      <rPr>
        <sz val="11"/>
        <color indexed="8"/>
        <rFont val="Calibri"/>
        <family val="2"/>
        <scheme val="minor"/>
      </rPr>
      <t xml:space="preserve"> and interest costs for that piece of equipment. However, repair costs will go up as equipment ages.</t>
    </r>
  </si>
  <si>
    <r>
      <t>Crop and input prices</t>
    </r>
    <r>
      <rPr>
        <sz val="11"/>
        <rFont val="Calibri"/>
        <family val="2"/>
        <scheme val="minor"/>
      </rPr>
      <t xml:space="preserve"> - </t>
    </r>
    <r>
      <rPr>
        <sz val="11"/>
        <rFont val="Calibri"/>
        <family val="2"/>
      </rPr>
      <t>Based on cooperating producer surveys most recently updated from 2023 phone surveys.</t>
    </r>
  </si>
  <si>
    <t>The table below outlines assumed field operations including equipment transport to fields.</t>
  </si>
  <si>
    <t>Annual Cost or Cost/Unit</t>
  </si>
  <si>
    <t>Fruiting Acres =</t>
  </si>
  <si>
    <t>Prune Year</t>
  </si>
  <si>
    <t>Fruiting Year</t>
  </si>
  <si>
    <t xml:space="preserve">   Pruning (Burn)</t>
  </si>
  <si>
    <t xml:space="preserve">   Spread Fertilizer</t>
  </si>
  <si>
    <t xml:space="preserve">   Spread Sulfur</t>
  </si>
  <si>
    <t xml:space="preserve">   Coordinate Pollination</t>
  </si>
  <si>
    <t xml:space="preserve">   Determine Maggot Fly Threshold</t>
  </si>
  <si>
    <t xml:space="preserve">   Spray (Insecticide)</t>
  </si>
  <si>
    <t>TOTAL REVENUE</t>
  </si>
  <si>
    <t>TOTAL COSTS</t>
  </si>
  <si>
    <t>Cost/acre for Maintenance/Repair*</t>
  </si>
  <si>
    <t>Cost/acre for Depreciation†</t>
  </si>
  <si>
    <r>
      <t>Total Maintenance/Repair</t>
    </r>
    <r>
      <rPr>
        <sz val="11"/>
        <color theme="1"/>
        <rFont val="Calibri"/>
        <family val="2"/>
        <scheme val="minor"/>
      </rPr>
      <t>:</t>
    </r>
  </si>
  <si>
    <t>* Total maintenance costs from model allocated in proportion to depreciation for specific operation. † Just for crop production not other capital (land, buildings, etc.).</t>
  </si>
  <si>
    <t xml:space="preserve"> Yield (units/acre)</t>
  </si>
  <si>
    <t>Cost/acre for Materials</t>
  </si>
  <si>
    <t>Cost/                  Fruiting Acre</t>
  </si>
  <si>
    <t>Revenue/                    Fruiting Acre</t>
  </si>
  <si>
    <t>Revenue/Fruiting Acre</t>
  </si>
  <si>
    <t xml:space="preserve">   Spray (Pre-Merge Herbicides)</t>
  </si>
  <si>
    <t xml:space="preserve">   Weed Wipe &amp; Perennial Weed Removal</t>
  </si>
  <si>
    <t xml:space="preserve">   Spray (Post-Merge Herbicides / Fungicide)</t>
  </si>
  <si>
    <t>Prepared by Aaron Hoshide, University of Maine School of Economics;
Lily Calderwood, University of Maine Cooperative Extension; Eric Venturini, Maine Wild Blueberry Commission;                                                                                                                                                                                                        Dave Yarborough, University of Maine, Emeritus Wild Blueberry Specialist &amp; Professor of Horticulture</t>
  </si>
  <si>
    <r>
      <t>PROFIT/</t>
    </r>
    <r>
      <rPr>
        <b/>
        <sz val="11"/>
        <color rgb="FFFF0000"/>
        <rFont val="Calibri"/>
        <family val="2"/>
        <scheme val="minor"/>
      </rPr>
      <t>LOSS</t>
    </r>
  </si>
  <si>
    <r>
      <t xml:space="preserve">Profit or </t>
    </r>
    <r>
      <rPr>
        <b/>
        <sz val="11"/>
        <color rgb="FFFF0000"/>
        <rFont val="Calibri"/>
        <family val="2"/>
        <scheme val="minor"/>
      </rPr>
      <t>Loss</t>
    </r>
    <r>
      <rPr>
        <b/>
        <sz val="11"/>
        <color theme="1"/>
        <rFont val="Calibri"/>
        <family val="2"/>
        <scheme val="minor"/>
      </rPr>
      <t xml:space="preserve">             /Fruiting Acre</t>
    </r>
  </si>
  <si>
    <r>
      <t>Profit or</t>
    </r>
    <r>
      <rPr>
        <b/>
        <sz val="11"/>
        <color rgb="FFFF0000"/>
        <rFont val="Calibri"/>
        <family val="2"/>
        <scheme val="minor"/>
      </rPr>
      <t xml:space="preserve"> Loss</t>
    </r>
    <r>
      <rPr>
        <b/>
        <sz val="11"/>
        <color theme="1"/>
        <rFont val="Calibri"/>
        <family val="2"/>
        <scheme val="minor"/>
      </rPr>
      <t xml:space="preserve">                /Pound</t>
    </r>
  </si>
  <si>
    <t>Tax for Wild Blueberries ($/lb - producer)</t>
  </si>
  <si>
    <t>Tax for Wild Blueberries ($/lb - processor)</t>
  </si>
  <si>
    <t xml:space="preserve">   Other(s) (                     )</t>
  </si>
  <si>
    <t>for crop equipment</t>
  </si>
  <si>
    <t>This budget calculates the revenues, variable and fixed costs and returns for a hypothetical Maine wild blueberry enterprise.  However, costs, yields, and returns will vary greatly across producers and locations.  Therefore, please use the budget as a template into which you can write figures specific to your own operation.  The budget assumes 15 acres of land in fruit in any given year. Total wild blueberry land includes 15 acres of land in prune in any given year for a total of 30 acres. Please update with your farm's figures if desired in yellow highlighted cells.</t>
  </si>
  <si>
    <t>Packaging</t>
  </si>
  <si>
    <t>Hand Raking Labor ($/22-lb box)</t>
  </si>
  <si>
    <t>Other Labor ($/hour)</t>
  </si>
  <si>
    <t>Interest on Operating Loan</t>
  </si>
  <si>
    <t>Replacement Teeth for Flail Mower</t>
  </si>
  <si>
    <t>Testing (Soil &amp; Tissue )</t>
  </si>
  <si>
    <t>Labor</t>
  </si>
  <si>
    <t>Hand Rake Labor ($/hour)</t>
  </si>
  <si>
    <r>
      <t>Total Oil for Equipment</t>
    </r>
    <r>
      <rPr>
        <sz val="11"/>
        <color theme="1"/>
        <rFont val="Calibri"/>
        <family val="2"/>
        <scheme val="minor"/>
      </rPr>
      <t>:</t>
    </r>
  </si>
  <si>
    <t>Mechanized Raking Labor ($/hour)</t>
  </si>
  <si>
    <t>Walk-behind Mechanized Raking Labor ($/hour)</t>
  </si>
  <si>
    <r>
      <t>Labor Hours (</t>
    </r>
    <r>
      <rPr>
        <i/>
        <sz val="10"/>
        <color theme="1"/>
        <rFont val="Calibri"/>
        <family val="2"/>
        <scheme val="minor"/>
      </rPr>
      <t>Owner(s) &amp; Workers)</t>
    </r>
    <r>
      <rPr>
        <b/>
        <sz val="10"/>
        <color theme="1"/>
        <rFont val="Calibri"/>
        <family val="2"/>
        <scheme val="minor"/>
      </rPr>
      <t xml:space="preserve"> </t>
    </r>
  </si>
  <si>
    <t>Total Annual Hours</t>
  </si>
  <si>
    <r>
      <t>Profit or</t>
    </r>
    <r>
      <rPr>
        <b/>
        <sz val="11"/>
        <color rgb="FFFF0000"/>
        <rFont val="Calibri"/>
        <family val="2"/>
        <scheme val="minor"/>
      </rPr>
      <t xml:space="preserve"> Loss</t>
    </r>
    <r>
      <rPr>
        <b/>
        <sz val="11"/>
        <color theme="1"/>
        <rFont val="Calibri"/>
        <family val="2"/>
        <scheme val="minor"/>
      </rPr>
      <t xml:space="preserve">                /Hour</t>
    </r>
  </si>
  <si>
    <t>Owner(s) Hours</t>
  </si>
  <si>
    <t>Paid Workers Hours</t>
  </si>
  <si>
    <t xml:space="preserve">   Harvest &amp; Transport (Walk-Behind Mechanized)</t>
  </si>
  <si>
    <r>
      <t>Fungicide Application(s)</t>
    </r>
    <r>
      <rPr>
        <sz val="11"/>
        <color theme="1"/>
        <rFont val="Calibri"/>
        <family val="2"/>
        <scheme val="minor"/>
      </rPr>
      <t>:</t>
    </r>
  </si>
  <si>
    <t>spray(s)/year on fruiting acres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</si>
</sst>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8" formatCode="&quot;$&quot;#,##0.00_);[Red]\(&quot;$&quot;#,##0.00\)"/>
    <numFmt numFmtId="164" formatCode="#,##0.000"/>
    <numFmt numFmtId="165" formatCode="&quot;$&quot;#,##0.000_);[Red]\(&quot;$&quot;#,##0.000\)"/>
    <numFmt numFmtId="166" formatCode="&quot;$&quot;#,##0.0000_);[Red]\(&quot;$&quot;#,##0.0000\)"/>
    <numFmt numFmtId="167" formatCode="&quot;$&quot;#,##0.00000_);[Red]\(&quot;$&quot;#,##0.00000\)"/>
    <numFmt numFmtId="168" formatCode="#,##0.0"/>
  </numFmts>
  <fonts count="29" x14ac:knownFonts="1">
    <font>
      <sz val="11"/>
      <color theme="1"/>
      <name val="Calibri"/>
      <family val="2"/>
      <scheme val="minor"/>
    </font>
    <font>
      <sz val="11"/>
      <color indexed="8"/>
      <name val="Calibri"/>
      <family val="2"/>
    </font>
    <font>
      <sz val="8"/>
      <name val="Calibri"/>
      <family val="2"/>
    </font>
    <font>
      <b/>
      <sz val="11"/>
      <color indexed="8"/>
      <name val="Calibri"/>
      <family val="2"/>
    </font>
    <font>
      <b/>
      <sz val="16"/>
      <color indexed="8"/>
      <name val="Calibri"/>
      <family val="2"/>
    </font>
    <font>
      <sz val="16"/>
      <color indexed="8"/>
      <name val="Calibri"/>
      <family val="2"/>
    </font>
    <font>
      <i/>
      <sz val="11"/>
      <color theme="1"/>
      <name val="Calibri"/>
      <family val="2"/>
      <scheme val="minor"/>
    </font>
    <font>
      <sz val="10"/>
      <color theme="1"/>
      <name val="Calibri"/>
      <family val="2"/>
      <scheme val="minor"/>
    </font>
    <font>
      <sz val="10"/>
      <color indexed="8"/>
      <name val="Calibri"/>
      <family val="2"/>
      <scheme val="minor"/>
    </font>
    <font>
      <b/>
      <sz val="10"/>
      <color theme="1"/>
      <name val="Calibri"/>
      <family val="2"/>
      <scheme val="minor"/>
    </font>
    <font>
      <i/>
      <sz val="10"/>
      <color theme="1"/>
      <name val="Calibri"/>
      <family val="2"/>
      <scheme val="minor"/>
    </font>
    <font>
      <sz val="14"/>
      <color indexed="8"/>
      <name val="Calibri"/>
      <family val="2"/>
      <scheme val="minor"/>
    </font>
    <font>
      <b/>
      <sz val="11"/>
      <color indexed="8"/>
      <name val="Calibri"/>
      <family val="2"/>
      <scheme val="minor"/>
    </font>
    <font>
      <sz val="11"/>
      <name val="Calibri"/>
      <family val="2"/>
      <scheme val="minor"/>
    </font>
    <font>
      <sz val="11"/>
      <color indexed="8"/>
      <name val="Calibri"/>
      <family val="2"/>
      <scheme val="minor"/>
    </font>
    <font>
      <b/>
      <i/>
      <sz val="10"/>
      <color theme="1"/>
      <name val="Calibri"/>
      <family val="2"/>
      <scheme val="minor"/>
    </font>
    <font>
      <i/>
      <sz val="10"/>
      <color theme="1"/>
      <name val="Calibri"/>
      <family val="2"/>
      <scheme val="minor"/>
    </font>
    <font>
      <b/>
      <i/>
      <sz val="10"/>
      <color theme="1"/>
      <name val="Calibri"/>
      <family val="2"/>
      <scheme val="minor"/>
    </font>
    <font>
      <b/>
      <sz val="10"/>
      <color indexed="8"/>
      <name val="Calibri"/>
      <family val="2"/>
    </font>
    <font>
      <sz val="10"/>
      <color indexed="8"/>
      <name val="Calibri"/>
      <family val="2"/>
    </font>
    <font>
      <sz val="11"/>
      <name val="Calibri"/>
      <family val="2"/>
    </font>
    <font>
      <b/>
      <i/>
      <sz val="10"/>
      <color indexed="8"/>
      <name val="Calibri"/>
      <family val="2"/>
    </font>
    <font>
      <sz val="10"/>
      <name val="Arial"/>
      <family val="2"/>
    </font>
    <font>
      <b/>
      <sz val="11"/>
      <color theme="1"/>
      <name val="Calibri"/>
      <family val="2"/>
      <scheme val="minor"/>
    </font>
    <font>
      <u/>
      <sz val="10"/>
      <color indexed="8"/>
      <name val="Calibri"/>
      <family val="2"/>
      <scheme val="minor"/>
    </font>
    <font>
      <u/>
      <sz val="11"/>
      <color theme="1"/>
      <name val="Calibri"/>
      <family val="2"/>
      <scheme val="minor"/>
    </font>
    <font>
      <b/>
      <sz val="9"/>
      <color indexed="81"/>
      <name val="Tahoma"/>
      <family val="2"/>
    </font>
    <font>
      <b/>
      <sz val="11"/>
      <color rgb="FFFF0000"/>
      <name val="Calibri"/>
      <family val="2"/>
      <scheme val="minor"/>
    </font>
    <font>
      <u/>
      <sz val="10"/>
      <color theme="1"/>
      <name val="Calibri"/>
      <family val="2"/>
      <scheme val="minor"/>
    </font>
  </fonts>
  <fills count="3">
    <fill>
      <patternFill patternType="none"/>
    </fill>
    <fill>
      <patternFill patternType="gray125"/>
    </fill>
    <fill>
      <patternFill patternType="solid">
        <fgColor rgb="FFFFFFCC"/>
        <bgColor indexed="64"/>
      </patternFill>
    </fill>
  </fills>
  <borders count="14">
    <border>
      <left/>
      <right/>
      <top/>
      <bottom/>
      <diagonal/>
    </border>
    <border>
      <left/>
      <right/>
      <top style="thin">
        <color auto="1"/>
      </top>
      <bottom style="thin">
        <color auto="1"/>
      </bottom>
      <diagonal/>
    </border>
    <border>
      <left/>
      <right/>
      <top/>
      <bottom style="hair">
        <color auto="1"/>
      </bottom>
      <diagonal/>
    </border>
    <border>
      <left/>
      <right/>
      <top/>
      <bottom style="thin">
        <color auto="1"/>
      </bottom>
      <diagonal/>
    </border>
    <border>
      <left/>
      <right/>
      <top style="hair">
        <color auto="1"/>
      </top>
      <bottom style="hair">
        <color auto="1"/>
      </bottom>
      <diagonal/>
    </border>
    <border>
      <left/>
      <right/>
      <top style="medium">
        <color auto="1"/>
      </top>
      <bottom style="medium">
        <color auto="1"/>
      </bottom>
      <diagonal/>
    </border>
    <border>
      <left/>
      <right/>
      <top style="hair">
        <color auto="1"/>
      </top>
      <bottom/>
      <diagonal/>
    </border>
    <border>
      <left/>
      <right/>
      <top/>
      <bottom style="double">
        <color auto="1"/>
      </bottom>
      <diagonal/>
    </border>
    <border>
      <left/>
      <right/>
      <top style="double">
        <color auto="1"/>
      </top>
      <bottom style="thin">
        <color auto="1"/>
      </bottom>
      <diagonal/>
    </border>
    <border>
      <left/>
      <right/>
      <top/>
      <bottom style="medium">
        <color auto="1"/>
      </bottom>
      <diagonal/>
    </border>
    <border>
      <left/>
      <right/>
      <top style="medium">
        <color auto="1"/>
      </top>
      <bottom style="double">
        <color indexed="64"/>
      </bottom>
      <diagonal/>
    </border>
    <border>
      <left/>
      <right/>
      <top style="thin">
        <color auto="1"/>
      </top>
      <bottom style="medium">
        <color indexed="64"/>
      </bottom>
      <diagonal/>
    </border>
    <border>
      <left/>
      <right/>
      <top style="hair">
        <color indexed="64"/>
      </top>
      <bottom style="thin">
        <color indexed="64"/>
      </bottom>
      <diagonal/>
    </border>
    <border>
      <left/>
      <right/>
      <top style="medium">
        <color auto="1"/>
      </top>
      <bottom/>
      <diagonal/>
    </border>
  </borders>
  <cellStyleXfs count="2">
    <xf numFmtId="0" fontId="0" fillId="0" borderId="0"/>
    <xf numFmtId="0" fontId="22" fillId="0" borderId="0"/>
  </cellStyleXfs>
  <cellXfs count="174">
    <xf numFmtId="0" fontId="0" fillId="0" borderId="0" xfId="0"/>
    <xf numFmtId="0" fontId="3" fillId="0" borderId="0" xfId="0" applyFont="1"/>
    <xf numFmtId="2" fontId="0" fillId="0" borderId="0" xfId="0" applyNumberFormat="1"/>
    <xf numFmtId="0" fontId="5" fillId="0" borderId="0" xfId="0" applyFont="1"/>
    <xf numFmtId="0" fontId="0" fillId="0" borderId="0" xfId="0"/>
    <xf numFmtId="0" fontId="7" fillId="0" borderId="0" xfId="0" applyFont="1" applyAlignment="1">
      <alignment vertical="center"/>
    </xf>
    <xf numFmtId="0" fontId="0" fillId="0" borderId="0" xfId="0" applyFont="1"/>
    <xf numFmtId="0" fontId="9" fillId="0" borderId="0" xfId="0" applyFont="1" applyAlignment="1">
      <alignment vertical="center"/>
    </xf>
    <xf numFmtId="0" fontId="8" fillId="0" borderId="0" xfId="0" applyFont="1" applyBorder="1"/>
    <xf numFmtId="0" fontId="7" fillId="0" borderId="0" xfId="0" applyFont="1" applyAlignment="1">
      <alignment horizontal="left" vertical="center" indent="1"/>
    </xf>
    <xf numFmtId="0" fontId="8" fillId="0" borderId="6" xfId="0" applyFont="1" applyBorder="1"/>
    <xf numFmtId="2" fontId="0" fillId="0" borderId="0" xfId="0" applyNumberFormat="1" applyFont="1"/>
    <xf numFmtId="2" fontId="0" fillId="0" borderId="0" xfId="0" applyNumberFormat="1" applyFont="1" applyAlignment="1"/>
    <xf numFmtId="0" fontId="11" fillId="0" borderId="0" xfId="0" applyFont="1"/>
    <xf numFmtId="0" fontId="12" fillId="0" borderId="0" xfId="0" applyFont="1"/>
    <xf numFmtId="0" fontId="8" fillId="0" borderId="0" xfId="0" applyFont="1"/>
    <xf numFmtId="0" fontId="12" fillId="0" borderId="0" xfId="0" applyFont="1" applyAlignment="1">
      <alignment horizontal="left" vertical="top"/>
    </xf>
    <xf numFmtId="0" fontId="0" fillId="0" borderId="0" xfId="0" applyFont="1" applyAlignment="1">
      <alignment horizontal="left" vertical="top"/>
    </xf>
    <xf numFmtId="8" fontId="7" fillId="0" borderId="0" xfId="0" applyNumberFormat="1" applyFont="1" applyAlignment="1">
      <alignment vertical="center"/>
    </xf>
    <xf numFmtId="0" fontId="9" fillId="0" borderId="5" xfId="0" applyFont="1" applyBorder="1" applyAlignment="1">
      <alignment vertical="center"/>
    </xf>
    <xf numFmtId="0" fontId="9" fillId="0" borderId="5"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Alignment="1">
      <alignment vertical="center"/>
    </xf>
    <xf numFmtId="0" fontId="9" fillId="0" borderId="9" xfId="0" applyFont="1" applyBorder="1" applyAlignment="1">
      <alignment vertical="center"/>
    </xf>
    <xf numFmtId="0" fontId="0" fillId="0" borderId="7" xfId="0" applyFont="1" applyBorder="1"/>
    <xf numFmtId="0" fontId="8" fillId="0" borderId="9" xfId="0" applyFont="1" applyBorder="1"/>
    <xf numFmtId="0" fontId="0" fillId="0" borderId="10" xfId="0" applyFont="1" applyBorder="1"/>
    <xf numFmtId="0" fontId="16" fillId="0" borderId="0" xfId="0" applyFont="1" applyAlignment="1">
      <alignment vertical="center"/>
    </xf>
    <xf numFmtId="0" fontId="17" fillId="0" borderId="0" xfId="0" applyFont="1" applyAlignment="1">
      <alignment vertical="center"/>
    </xf>
    <xf numFmtId="0" fontId="7" fillId="0" borderId="9" xfId="0" applyFont="1" applyBorder="1" applyAlignment="1">
      <alignment vertical="center"/>
    </xf>
    <xf numFmtId="0" fontId="8" fillId="0" borderId="9" xfId="0" applyFont="1" applyBorder="1" applyAlignment="1">
      <alignment horizontal="center" wrapText="1"/>
    </xf>
    <xf numFmtId="2" fontId="0" fillId="0" borderId="0" xfId="0" applyNumberFormat="1" applyFont="1" applyAlignment="1">
      <alignment horizontal="right"/>
    </xf>
    <xf numFmtId="0" fontId="18" fillId="0" borderId="1" xfId="0" applyFont="1" applyBorder="1" applyAlignment="1">
      <alignment wrapText="1"/>
    </xf>
    <xf numFmtId="0" fontId="12" fillId="0" borderId="0" xfId="0" applyFont="1" applyAlignment="1"/>
    <xf numFmtId="0" fontId="19" fillId="0" borderId="3" xfId="0" applyFont="1" applyBorder="1"/>
    <xf numFmtId="0" fontId="0" fillId="0" borderId="3" xfId="0" applyFont="1" applyBorder="1"/>
    <xf numFmtId="0" fontId="8" fillId="0" borderId="1" xfId="0" applyFont="1" applyBorder="1" applyAlignment="1">
      <alignment horizontal="center" wrapText="1"/>
    </xf>
    <xf numFmtId="0" fontId="0" fillId="0" borderId="0" xfId="0" applyFont="1" applyBorder="1"/>
    <xf numFmtId="0" fontId="19" fillId="0" borderId="0" xfId="0" applyFont="1" applyAlignment="1">
      <alignment horizontal="left" vertical="center" indent="1"/>
    </xf>
    <xf numFmtId="0" fontId="7" fillId="0" borderId="0" xfId="0" applyFont="1" applyAlignment="1">
      <alignment horizontal="left" vertical="center" indent="2"/>
    </xf>
    <xf numFmtId="0" fontId="9" fillId="0" borderId="9" xfId="0" applyFont="1" applyBorder="1" applyAlignment="1">
      <alignment horizontal="left" vertical="center"/>
    </xf>
    <xf numFmtId="0" fontId="9" fillId="0" borderId="0" xfId="0" applyFont="1" applyBorder="1" applyAlignment="1">
      <alignment vertical="center"/>
    </xf>
    <xf numFmtId="0" fontId="9" fillId="0" borderId="0" xfId="0" applyFont="1" applyFill="1" applyBorder="1" applyAlignment="1">
      <alignment vertical="center"/>
    </xf>
    <xf numFmtId="0" fontId="0" fillId="0" borderId="0" xfId="0" applyFont="1" applyAlignment="1">
      <alignment horizontal="right"/>
    </xf>
    <xf numFmtId="0" fontId="8" fillId="0" borderId="3" xfId="0" applyFont="1" applyBorder="1"/>
    <xf numFmtId="0" fontId="0" fillId="0" borderId="0" xfId="0" applyAlignment="1">
      <alignment vertical="top"/>
    </xf>
    <xf numFmtId="0" fontId="7" fillId="0" borderId="9" xfId="0" applyFont="1" applyBorder="1" applyAlignment="1">
      <alignment horizontal="right" vertical="center" wrapText="1"/>
    </xf>
    <xf numFmtId="6" fontId="9" fillId="0" borderId="0" xfId="0" applyNumberFormat="1" applyFont="1" applyAlignment="1">
      <alignment horizontal="right" vertical="center"/>
    </xf>
    <xf numFmtId="8" fontId="9" fillId="0" borderId="0" xfId="0" applyNumberFormat="1" applyFont="1" applyAlignment="1">
      <alignment horizontal="right" vertical="center"/>
    </xf>
    <xf numFmtId="0" fontId="7" fillId="0" borderId="5" xfId="0" applyFont="1" applyBorder="1" applyAlignment="1">
      <alignment horizontal="right"/>
    </xf>
    <xf numFmtId="0" fontId="7" fillId="0" borderId="5" xfId="0" applyFont="1" applyBorder="1" applyAlignment="1">
      <alignment horizontal="right" vertical="center" wrapText="1"/>
    </xf>
    <xf numFmtId="0" fontId="7" fillId="0" borderId="0" xfId="0" applyFont="1" applyBorder="1" applyAlignment="1">
      <alignment horizontal="right"/>
    </xf>
    <xf numFmtId="0" fontId="7" fillId="0" borderId="0" xfId="0" applyNumberFormat="1" applyFont="1" applyAlignment="1">
      <alignment horizontal="right" vertical="center"/>
    </xf>
    <xf numFmtId="6" fontId="7" fillId="0" borderId="0" xfId="0" applyNumberFormat="1" applyFont="1" applyAlignment="1">
      <alignment horizontal="right" vertical="center"/>
    </xf>
    <xf numFmtId="6" fontId="9" fillId="0" borderId="9" xfId="0" applyNumberFormat="1" applyFont="1" applyBorder="1" applyAlignment="1">
      <alignment horizontal="right" vertical="center"/>
    </xf>
    <xf numFmtId="0" fontId="0" fillId="0" borderId="9" xfId="0" applyFont="1" applyBorder="1" applyAlignment="1">
      <alignment horizontal="right"/>
    </xf>
    <xf numFmtId="8" fontId="9" fillId="0" borderId="9" xfId="0" applyNumberFormat="1" applyFont="1" applyBorder="1" applyAlignment="1">
      <alignment horizontal="right" vertical="center"/>
    </xf>
    <xf numFmtId="6" fontId="9" fillId="0" borderId="5" xfId="0" applyNumberFormat="1" applyFont="1" applyBorder="1" applyAlignment="1">
      <alignment horizontal="right" vertical="center"/>
    </xf>
    <xf numFmtId="0" fontId="0" fillId="0" borderId="5" xfId="0" applyFont="1" applyBorder="1" applyAlignment="1">
      <alignment horizontal="right"/>
    </xf>
    <xf numFmtId="8" fontId="9" fillId="0" borderId="5" xfId="0" applyNumberFormat="1" applyFont="1" applyBorder="1" applyAlignment="1">
      <alignment horizontal="right" vertical="center"/>
    </xf>
    <xf numFmtId="6" fontId="9" fillId="0" borderId="0" xfId="0" applyNumberFormat="1" applyFont="1" applyBorder="1" applyAlignment="1">
      <alignment horizontal="right" vertical="center"/>
    </xf>
    <xf numFmtId="0" fontId="0" fillId="0" borderId="0" xfId="0" applyFont="1" applyBorder="1" applyAlignment="1">
      <alignment horizontal="right"/>
    </xf>
    <xf numFmtId="8" fontId="9" fillId="0" borderId="0" xfId="0" applyNumberFormat="1" applyFont="1" applyBorder="1" applyAlignment="1">
      <alignment horizontal="right" vertical="center"/>
    </xf>
    <xf numFmtId="0" fontId="0" fillId="0" borderId="7" xfId="0" applyFont="1" applyBorder="1" applyAlignment="1">
      <alignment horizontal="right"/>
    </xf>
    <xf numFmtId="0" fontId="0" fillId="0" borderId="0" xfId="0" applyAlignment="1">
      <alignment horizontal="right"/>
    </xf>
    <xf numFmtId="0" fontId="19" fillId="0" borderId="1" xfId="0" applyFont="1" applyBorder="1" applyAlignment="1">
      <alignment horizontal="right" vertical="center" wrapText="1"/>
    </xf>
    <xf numFmtId="8" fontId="7" fillId="0" borderId="3" xfId="0" applyNumberFormat="1" applyFont="1" applyBorder="1" applyAlignment="1">
      <alignment horizontal="right" vertical="center"/>
    </xf>
    <xf numFmtId="8" fontId="9" fillId="0" borderId="3" xfId="0" applyNumberFormat="1" applyFont="1" applyBorder="1" applyAlignment="1">
      <alignment horizontal="right" vertical="center"/>
    </xf>
    <xf numFmtId="8" fontId="7" fillId="0" borderId="0" xfId="0" applyNumberFormat="1" applyFont="1" applyAlignment="1">
      <alignment horizontal="right" vertical="center"/>
    </xf>
    <xf numFmtId="0" fontId="19" fillId="0" borderId="0" xfId="0" applyFont="1" applyFill="1" applyBorder="1"/>
    <xf numFmtId="0" fontId="0" fillId="0" borderId="0" xfId="0" applyAlignment="1">
      <alignment wrapText="1"/>
    </xf>
    <xf numFmtId="0" fontId="13" fillId="0" borderId="0" xfId="0" applyFont="1" applyFill="1" applyAlignment="1">
      <alignment vertical="top" wrapText="1"/>
    </xf>
    <xf numFmtId="0" fontId="0" fillId="0" borderId="0" xfId="0" applyFont="1" applyAlignment="1">
      <alignment vertical="top" wrapText="1"/>
    </xf>
    <xf numFmtId="8" fontId="7" fillId="0" borderId="0" xfId="0" applyNumberFormat="1" applyFont="1" applyAlignment="1">
      <alignment horizontal="center" vertical="center"/>
    </xf>
    <xf numFmtId="0" fontId="7" fillId="0" borderId="3" xfId="0" applyFont="1" applyBorder="1" applyAlignment="1">
      <alignment horizontal="center" vertical="center"/>
    </xf>
    <xf numFmtId="6" fontId="7" fillId="0" borderId="0" xfId="0" applyNumberFormat="1" applyFont="1" applyAlignment="1">
      <alignment horizontal="center" vertical="center"/>
    </xf>
    <xf numFmtId="0" fontId="23" fillId="0" borderId="0" xfId="0" applyFont="1" applyAlignment="1">
      <alignment horizontal="right"/>
    </xf>
    <xf numFmtId="8" fontId="0" fillId="0" borderId="0" xfId="0" applyNumberFormat="1" applyFont="1"/>
    <xf numFmtId="0" fontId="0" fillId="0" borderId="0" xfId="0" applyFont="1" applyAlignment="1">
      <alignment vertical="top" wrapText="1"/>
    </xf>
    <xf numFmtId="3" fontId="7" fillId="0" borderId="0" xfId="0" applyNumberFormat="1" applyFont="1" applyAlignment="1">
      <alignment horizontal="center" vertical="center"/>
    </xf>
    <xf numFmtId="3" fontId="7" fillId="0" borderId="3" xfId="0" applyNumberFormat="1" applyFont="1" applyBorder="1" applyAlignment="1">
      <alignment horizontal="center" vertical="center"/>
    </xf>
    <xf numFmtId="8" fontId="7" fillId="0" borderId="0" xfId="0" applyNumberFormat="1" applyFont="1" applyFill="1" applyAlignment="1">
      <alignment horizontal="right" vertical="center"/>
    </xf>
    <xf numFmtId="8" fontId="7" fillId="0" borderId="13" xfId="0" applyNumberFormat="1" applyFont="1" applyBorder="1" applyAlignment="1">
      <alignment horizontal="right" vertical="center"/>
    </xf>
    <xf numFmtId="0" fontId="7" fillId="0" borderId="9" xfId="0" applyFont="1" applyFill="1" applyBorder="1" applyAlignment="1">
      <alignment horizontal="right" vertical="center" wrapText="1"/>
    </xf>
    <xf numFmtId="8" fontId="7" fillId="0" borderId="3" xfId="0" applyNumberFormat="1" applyFont="1" applyFill="1" applyBorder="1" applyAlignment="1">
      <alignment horizontal="right" vertical="center"/>
    </xf>
    <xf numFmtId="0" fontId="0" fillId="0" borderId="0" xfId="0" applyFont="1" applyFill="1" applyAlignment="1">
      <alignment horizontal="right"/>
    </xf>
    <xf numFmtId="0" fontId="7" fillId="0" borderId="5" xfId="0" applyFont="1" applyFill="1" applyBorder="1" applyAlignment="1">
      <alignment horizontal="right"/>
    </xf>
    <xf numFmtId="0" fontId="7" fillId="0" borderId="0" xfId="0" applyFont="1" applyFill="1" applyBorder="1" applyAlignment="1">
      <alignment horizontal="right"/>
    </xf>
    <xf numFmtId="6" fontId="7" fillId="0" borderId="0" xfId="0" applyNumberFormat="1" applyFont="1" applyFill="1" applyAlignment="1">
      <alignment horizontal="right" vertical="center"/>
    </xf>
    <xf numFmtId="0" fontId="6" fillId="0" borderId="0" xfId="0" applyFont="1" applyFill="1" applyAlignment="1">
      <alignment horizontal="right" vertical="center"/>
    </xf>
    <xf numFmtId="0" fontId="0" fillId="0" borderId="9" xfId="0" applyFont="1" applyFill="1" applyBorder="1" applyAlignment="1">
      <alignment horizontal="right"/>
    </xf>
    <xf numFmtId="0" fontId="0" fillId="0" borderId="5" xfId="0" applyFont="1" applyFill="1" applyBorder="1" applyAlignment="1">
      <alignment horizontal="right"/>
    </xf>
    <xf numFmtId="0" fontId="0" fillId="0" borderId="0" xfId="0" applyFont="1" applyFill="1" applyBorder="1" applyAlignment="1">
      <alignment horizontal="right"/>
    </xf>
    <xf numFmtId="0" fontId="0" fillId="0" borderId="0" xfId="0" applyFill="1" applyAlignment="1">
      <alignment horizontal="right"/>
    </xf>
    <xf numFmtId="0" fontId="0" fillId="0" borderId="7" xfId="0" applyFont="1" applyFill="1" applyBorder="1" applyAlignment="1">
      <alignment horizontal="right"/>
    </xf>
    <xf numFmtId="0" fontId="0" fillId="0" borderId="0" xfId="0" applyFont="1" applyFill="1" applyAlignment="1"/>
    <xf numFmtId="0" fontId="0" fillId="0" borderId="0" xfId="0" applyFill="1"/>
    <xf numFmtId="0" fontId="0" fillId="0" borderId="0" xfId="0" applyFont="1" applyFill="1"/>
    <xf numFmtId="0" fontId="0" fillId="0" borderId="0" xfId="0" applyFont="1" applyFill="1" applyAlignment="1">
      <alignment vertical="top" wrapText="1"/>
    </xf>
    <xf numFmtId="0" fontId="19" fillId="0" borderId="1" xfId="0" applyFont="1" applyFill="1" applyBorder="1" applyAlignment="1">
      <alignment horizontal="right" vertical="center" wrapText="1"/>
    </xf>
    <xf numFmtId="0" fontId="0" fillId="0" borderId="0" xfId="0" applyFont="1" applyFill="1" applyBorder="1"/>
    <xf numFmtId="8" fontId="0" fillId="0" borderId="0" xfId="0" applyNumberFormat="1" applyFont="1" applyAlignment="1">
      <alignment horizontal="right"/>
    </xf>
    <xf numFmtId="8" fontId="0" fillId="0" borderId="9" xfId="0" applyNumberFormat="1" applyFont="1" applyBorder="1" applyAlignment="1">
      <alignment horizontal="right"/>
    </xf>
    <xf numFmtId="165" fontId="7" fillId="0" borderId="0" xfId="0" applyNumberFormat="1" applyFont="1" applyAlignment="1">
      <alignment horizontal="right" vertical="center"/>
    </xf>
    <xf numFmtId="0" fontId="7" fillId="0" borderId="5" xfId="0" applyFont="1" applyBorder="1" applyAlignment="1">
      <alignment horizontal="right" vertical="center"/>
    </xf>
    <xf numFmtId="0" fontId="7" fillId="0" borderId="5" xfId="0" applyFont="1" applyBorder="1" applyAlignment="1">
      <alignment horizontal="center" vertical="center"/>
    </xf>
    <xf numFmtId="8" fontId="7" fillId="0" borderId="3" xfId="0" applyNumberFormat="1" applyFont="1" applyBorder="1" applyAlignment="1">
      <alignment horizontal="center" vertical="center"/>
    </xf>
    <xf numFmtId="6" fontId="7" fillId="0" borderId="0" xfId="0" applyNumberFormat="1" applyFont="1" applyBorder="1" applyAlignment="1">
      <alignment horizontal="center" vertical="center"/>
    </xf>
    <xf numFmtId="8" fontId="7" fillId="0" borderId="0" xfId="0" applyNumberFormat="1" applyFont="1" applyBorder="1" applyAlignment="1">
      <alignment horizontal="right" vertical="center"/>
    </xf>
    <xf numFmtId="166" fontId="7" fillId="0" borderId="0" xfId="0" applyNumberFormat="1" applyFont="1" applyAlignment="1">
      <alignment horizontal="right" vertical="center"/>
    </xf>
    <xf numFmtId="167" fontId="7" fillId="0" borderId="0" xfId="0" applyNumberFormat="1" applyFont="1" applyAlignment="1">
      <alignment horizontal="right" vertical="center"/>
    </xf>
    <xf numFmtId="8" fontId="7" fillId="0" borderId="0" xfId="0" applyNumberFormat="1" applyFont="1" applyBorder="1" applyAlignment="1">
      <alignment horizontal="center" vertical="center"/>
    </xf>
    <xf numFmtId="165" fontId="7" fillId="0" borderId="0" xfId="0" applyNumberFormat="1" applyFont="1" applyBorder="1" applyAlignment="1">
      <alignment horizontal="right" vertical="center"/>
    </xf>
    <xf numFmtId="0" fontId="7" fillId="0" borderId="0" xfId="0" applyFont="1" applyAlignment="1">
      <alignment horizontal="right"/>
    </xf>
    <xf numFmtId="0" fontId="8" fillId="0" borderId="5" xfId="0" applyFont="1" applyBorder="1" applyAlignment="1">
      <alignment horizontal="center" wrapText="1"/>
    </xf>
    <xf numFmtId="3" fontId="7" fillId="0" borderId="0" xfId="0" applyNumberFormat="1" applyFont="1" applyFill="1" applyAlignment="1">
      <alignment horizontal="right" vertical="center"/>
    </xf>
    <xf numFmtId="0" fontId="24" fillId="0" borderId="0" xfId="0" applyFont="1"/>
    <xf numFmtId="0" fontId="7" fillId="0" borderId="9" xfId="0" applyFont="1" applyBorder="1" applyAlignment="1">
      <alignment horizontal="center" vertical="center" wrapText="1"/>
    </xf>
    <xf numFmtId="6" fontId="7" fillId="0" borderId="13" xfId="0" applyNumberFormat="1" applyFont="1" applyBorder="1" applyAlignment="1">
      <alignment horizontal="right" vertical="center"/>
    </xf>
    <xf numFmtId="6" fontId="7" fillId="0" borderId="3" xfId="0" applyNumberFormat="1" applyFont="1" applyBorder="1" applyAlignment="1">
      <alignment horizontal="right" vertical="center"/>
    </xf>
    <xf numFmtId="8" fontId="10" fillId="0" borderId="0" xfId="0" applyNumberFormat="1" applyFont="1" applyAlignment="1">
      <alignment horizontal="right" vertical="center"/>
    </xf>
    <xf numFmtId="6" fontId="10" fillId="0" borderId="0" xfId="0" applyNumberFormat="1" applyFont="1" applyAlignment="1">
      <alignment horizontal="right" vertical="center"/>
    </xf>
    <xf numFmtId="0" fontId="25" fillId="0" borderId="0" xfId="0" applyFont="1" applyAlignment="1">
      <alignment horizontal="right"/>
    </xf>
    <xf numFmtId="0" fontId="18" fillId="0" borderId="1" xfId="0" applyFont="1" applyBorder="1" applyAlignment="1">
      <alignment horizontal="right" wrapText="1"/>
    </xf>
    <xf numFmtId="8" fontId="7" fillId="0" borderId="0" xfId="0" applyNumberFormat="1" applyFont="1" applyFill="1" applyBorder="1" applyAlignment="1">
      <alignment horizontal="right" vertical="center"/>
    </xf>
    <xf numFmtId="0" fontId="7" fillId="2" borderId="3" xfId="0" applyFont="1" applyFill="1" applyBorder="1" applyAlignment="1" applyProtection="1">
      <alignment vertical="center"/>
      <protection locked="0"/>
    </xf>
    <xf numFmtId="3" fontId="7" fillId="2" borderId="0" xfId="0" applyNumberFormat="1" applyFont="1" applyFill="1" applyAlignment="1" applyProtection="1">
      <alignment horizontal="right" vertical="center"/>
      <protection locked="0"/>
    </xf>
    <xf numFmtId="3" fontId="7" fillId="2" borderId="3" xfId="0" applyNumberFormat="1" applyFont="1" applyFill="1" applyBorder="1" applyAlignment="1" applyProtection="1">
      <alignment horizontal="right" vertical="center"/>
      <protection locked="0"/>
    </xf>
    <xf numFmtId="8" fontId="7" fillId="2" borderId="0" xfId="0" applyNumberFormat="1" applyFont="1" applyFill="1" applyAlignment="1" applyProtection="1">
      <alignment horizontal="right" vertical="center"/>
      <protection locked="0"/>
    </xf>
    <xf numFmtId="8" fontId="7" fillId="2" borderId="3" xfId="0" applyNumberFormat="1" applyFont="1" applyFill="1" applyBorder="1" applyAlignment="1" applyProtection="1">
      <alignment horizontal="right" vertical="center"/>
      <protection locked="0"/>
    </xf>
    <xf numFmtId="0" fontId="8" fillId="2" borderId="2" xfId="0" applyFont="1" applyFill="1" applyBorder="1" applyProtection="1">
      <protection locked="0"/>
    </xf>
    <xf numFmtId="6" fontId="7" fillId="2" borderId="0" xfId="0" applyNumberFormat="1" applyFont="1" applyFill="1" applyAlignment="1" applyProtection="1">
      <alignment horizontal="right" vertical="center"/>
      <protection locked="0"/>
    </xf>
    <xf numFmtId="164" fontId="7" fillId="2" borderId="0" xfId="0" applyNumberFormat="1" applyFont="1" applyFill="1" applyAlignment="1" applyProtection="1">
      <alignment horizontal="right" vertical="center"/>
      <protection locked="0"/>
    </xf>
    <xf numFmtId="4" fontId="7" fillId="2" borderId="0" xfId="0" applyNumberFormat="1" applyFont="1" applyFill="1" applyAlignment="1" applyProtection="1">
      <alignment horizontal="right" vertical="center"/>
      <protection locked="0"/>
    </xf>
    <xf numFmtId="0" fontId="8" fillId="2" borderId="3" xfId="0" applyFont="1" applyFill="1" applyBorder="1" applyProtection="1">
      <protection locked="0"/>
    </xf>
    <xf numFmtId="0" fontId="8" fillId="2" borderId="4" xfId="0" applyFont="1" applyFill="1" applyBorder="1" applyProtection="1">
      <protection locked="0"/>
    </xf>
    <xf numFmtId="0" fontId="8" fillId="2" borderId="12" xfId="0" applyFont="1" applyFill="1" applyBorder="1" applyProtection="1">
      <protection locked="0"/>
    </xf>
    <xf numFmtId="0" fontId="8" fillId="2" borderId="0" xfId="0" applyFont="1" applyFill="1" applyBorder="1" applyProtection="1">
      <protection locked="0"/>
    </xf>
    <xf numFmtId="8" fontId="23" fillId="0" borderId="0" xfId="0" applyNumberFormat="1" applyFont="1" applyAlignment="1">
      <alignment horizontal="right" vertical="center"/>
    </xf>
    <xf numFmtId="8" fontId="23" fillId="0" borderId="9" xfId="0" applyNumberFormat="1" applyFont="1" applyBorder="1" applyAlignment="1">
      <alignment horizontal="right" vertical="center"/>
    </xf>
    <xf numFmtId="6" fontId="23" fillId="0" borderId="0" xfId="0" applyNumberFormat="1" applyFont="1" applyAlignment="1">
      <alignment horizontal="right" vertical="center"/>
    </xf>
    <xf numFmtId="6" fontId="23" fillId="0" borderId="9" xfId="0" applyNumberFormat="1" applyFont="1" applyBorder="1" applyAlignment="1">
      <alignment horizontal="right" vertical="center"/>
    </xf>
    <xf numFmtId="0" fontId="23" fillId="0" borderId="0" xfId="0" applyFont="1" applyAlignment="1">
      <alignment horizontal="right" wrapText="1"/>
    </xf>
    <xf numFmtId="166" fontId="7" fillId="2" borderId="0" xfId="0" applyNumberFormat="1" applyFont="1" applyFill="1" applyAlignment="1" applyProtection="1">
      <alignment horizontal="right" vertical="center"/>
      <protection locked="0"/>
    </xf>
    <xf numFmtId="6" fontId="7" fillId="0" borderId="0" xfId="0" applyNumberFormat="1" applyFont="1" applyBorder="1" applyAlignment="1">
      <alignment horizontal="right" vertical="center"/>
    </xf>
    <xf numFmtId="0" fontId="7" fillId="2" borderId="0" xfId="0" applyFont="1" applyFill="1" applyBorder="1" applyAlignment="1" applyProtection="1">
      <alignment vertical="center"/>
      <protection locked="0"/>
    </xf>
    <xf numFmtId="166" fontId="7" fillId="0" borderId="3" xfId="0" applyNumberFormat="1" applyFont="1" applyBorder="1" applyAlignment="1">
      <alignment horizontal="right" vertical="center"/>
    </xf>
    <xf numFmtId="0" fontId="9" fillId="0" borderId="0" xfId="0" applyFont="1" applyAlignment="1">
      <alignment horizontal="right" vertical="center"/>
    </xf>
    <xf numFmtId="3" fontId="9" fillId="2" borderId="0" xfId="0" applyNumberFormat="1" applyFont="1" applyFill="1" applyAlignment="1" applyProtection="1">
      <alignment horizontal="left" vertical="center"/>
      <protection locked="0"/>
    </xf>
    <xf numFmtId="6" fontId="8" fillId="0" borderId="0" xfId="0" applyNumberFormat="1" applyFont="1" applyBorder="1"/>
    <xf numFmtId="6" fontId="0" fillId="0" borderId="0" xfId="0" applyNumberFormat="1" applyFont="1" applyAlignment="1">
      <alignment vertical="top" wrapText="1"/>
    </xf>
    <xf numFmtId="0" fontId="0" fillId="0" borderId="0" xfId="0" applyFont="1" applyAlignment="1">
      <alignment vertical="top" wrapText="1"/>
    </xf>
    <xf numFmtId="0" fontId="28" fillId="0" borderId="0" xfId="0" applyFont="1" applyAlignment="1">
      <alignment horizontal="center"/>
    </xf>
    <xf numFmtId="0" fontId="7" fillId="0" borderId="0" xfId="0" applyFont="1"/>
    <xf numFmtId="0" fontId="7" fillId="0" borderId="0" xfId="0" applyFont="1" applyAlignment="1">
      <alignment horizontal="right" vertical="center" indent="1"/>
    </xf>
    <xf numFmtId="168" fontId="7" fillId="2" borderId="0" xfId="0" applyNumberFormat="1" applyFont="1" applyFill="1" applyAlignment="1" applyProtection="1">
      <alignment horizontal="center" vertical="center"/>
      <protection locked="0"/>
    </xf>
    <xf numFmtId="3" fontId="7" fillId="2" borderId="0" xfId="0" applyNumberFormat="1" applyFont="1" applyFill="1" applyAlignment="1" applyProtection="1">
      <alignment horizontal="center" vertical="center"/>
      <protection locked="0"/>
    </xf>
    <xf numFmtId="38" fontId="0" fillId="2" borderId="0" xfId="0" applyNumberFormat="1" applyFont="1" applyFill="1" applyAlignment="1" applyProtection="1">
      <alignment vertical="top" wrapText="1"/>
      <protection locked="0"/>
    </xf>
    <xf numFmtId="0" fontId="20"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wrapText="1"/>
    </xf>
    <xf numFmtId="0" fontId="13" fillId="0" borderId="0" xfId="0" applyFont="1" applyAlignment="1">
      <alignment vertical="top" wrapText="1"/>
    </xf>
    <xf numFmtId="0" fontId="0" fillId="0" borderId="0" xfId="0" applyFont="1" applyAlignment="1"/>
    <xf numFmtId="0" fontId="1" fillId="0" borderId="0" xfId="0" applyFont="1" applyAlignment="1">
      <alignment wrapText="1"/>
    </xf>
    <xf numFmtId="0" fontId="0" fillId="0" borderId="0" xfId="0" applyFont="1" applyFill="1" applyAlignment="1">
      <alignment horizontal="left" vertical="top" wrapText="1"/>
    </xf>
    <xf numFmtId="0" fontId="0" fillId="0" borderId="0" xfId="0" applyFont="1" applyAlignment="1">
      <alignment horizontal="left" vertical="top" wrapText="1"/>
    </xf>
    <xf numFmtId="0" fontId="10" fillId="0" borderId="0" xfId="0" applyNumberFormat="1" applyFont="1" applyAlignment="1">
      <alignment horizontal="right" vertical="center"/>
    </xf>
    <xf numFmtId="0" fontId="6" fillId="0" borderId="0" xfId="0" applyFont="1" applyAlignment="1">
      <alignment horizontal="right" vertical="center"/>
    </xf>
    <xf numFmtId="0" fontId="4" fillId="0" borderId="7" xfId="0" applyFont="1" applyBorder="1" applyAlignment="1">
      <alignment horizontal="center"/>
    </xf>
    <xf numFmtId="0" fontId="0" fillId="0" borderId="7" xfId="0" applyBorder="1" applyAlignment="1"/>
    <xf numFmtId="0" fontId="1" fillId="0" borderId="8" xfId="0" applyFont="1" applyBorder="1" applyAlignment="1">
      <alignment horizontal="center" wrapText="1"/>
    </xf>
    <xf numFmtId="0" fontId="0" fillId="0" borderId="8" xfId="0" applyBorder="1" applyAlignment="1">
      <alignment horizontal="center" wrapText="1"/>
    </xf>
    <xf numFmtId="0" fontId="0" fillId="0" borderId="11" xfId="0" applyBorder="1" applyAlignment="1">
      <alignment horizontal="left" vertical="top" wrapText="1"/>
    </xf>
    <xf numFmtId="0" fontId="0" fillId="0" borderId="11" xfId="0" applyBorder="1" applyAlignment="1"/>
  </cellXfs>
  <cellStyles count="2">
    <cellStyle name="Normal" xfId="0" builtinId="0"/>
    <cellStyle name="Normal 2" xfId="1"/>
  </cellStyles>
  <dxfs count="0"/>
  <tableStyles count="0" defaultTableStyle="TableStyleMedium9"/>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50801</xdr:colOff>
      <xdr:row>0</xdr:row>
      <xdr:rowOff>50800</xdr:rowOff>
    </xdr:from>
    <xdr:to>
      <xdr:col>0</xdr:col>
      <xdr:colOff>1238250</xdr:colOff>
      <xdr:row>0</xdr:row>
      <xdr:rowOff>416560</xdr:rowOff>
    </xdr:to>
    <xdr:pic>
      <xdr:nvPicPr>
        <xdr:cNvPr id="2" name="Picture 3" descr="2000UMCECVU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1" y="50800"/>
          <a:ext cx="1187449"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19050</xdr:colOff>
      <xdr:row>75</xdr:row>
      <xdr:rowOff>85725</xdr:rowOff>
    </xdr:from>
    <xdr:to>
      <xdr:col>9</xdr:col>
      <xdr:colOff>1371600</xdr:colOff>
      <xdr:row>75</xdr:row>
      <xdr:rowOff>95249</xdr:rowOff>
    </xdr:to>
    <xdr:sp macro="" textlink="">
      <xdr:nvSpPr>
        <xdr:cNvPr id="3" name="Line 4"/>
        <xdr:cNvSpPr>
          <a:spLocks noChangeShapeType="1"/>
        </xdr:cNvSpPr>
      </xdr:nvSpPr>
      <xdr:spPr bwMode="auto">
        <a:xfrm flipV="1">
          <a:off x="4994910" y="8963025"/>
          <a:ext cx="1352550" cy="9524"/>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4"/>
  <sheetViews>
    <sheetView tabSelected="1" topLeftCell="A83" zoomScaleNormal="100" zoomScaleSheetLayoutView="100" workbookViewId="0">
      <selection activeCell="J101" sqref="J101"/>
    </sheetView>
  </sheetViews>
  <sheetFormatPr defaultColWidth="8.7109375" defaultRowHeight="15" x14ac:dyDescent="0.25"/>
  <cols>
    <col min="1" max="1" width="43.7109375" style="4" customWidth="1"/>
    <col min="2" max="2" width="16.5703125" style="4" customWidth="1"/>
    <col min="3" max="3" width="1.7109375" style="4" customWidth="1"/>
    <col min="4" max="4" width="20" style="4" customWidth="1"/>
    <col min="5" max="5" width="1.7109375" style="96" customWidth="1"/>
    <col min="6" max="6" width="11.7109375" style="4" customWidth="1"/>
    <col min="7" max="7" width="17.7109375" style="4" customWidth="1"/>
    <col min="8" max="9" width="13.28515625" style="4" customWidth="1"/>
    <col min="10" max="10" width="20.28515625" style="2" customWidth="1"/>
    <col min="11" max="16384" width="8.7109375" style="4"/>
  </cols>
  <sheetData>
    <row r="1" spans="1:10" s="3" customFormat="1" ht="52.15" customHeight="1" thickBot="1" x14ac:dyDescent="0.5">
      <c r="A1" s="168" t="str">
        <f>CONCATENATE("Maine Wild Blueberry Enterprise Budget - CONVENTIONAL Frozen - ",B8," acres")</f>
        <v>Maine Wild Blueberry Enterprise Budget - CONVENTIONAL Frozen - 15 acres</v>
      </c>
      <c r="B1" s="169"/>
      <c r="C1" s="169"/>
      <c r="D1" s="169"/>
      <c r="E1" s="169"/>
      <c r="F1" s="169"/>
      <c r="G1" s="169"/>
      <c r="H1" s="169"/>
      <c r="I1" s="169"/>
      <c r="J1" s="169"/>
    </row>
    <row r="2" spans="1:10" ht="45.75" customHeight="1" thickTop="1" x14ac:dyDescent="0.25">
      <c r="A2" s="170" t="s">
        <v>101</v>
      </c>
      <c r="B2" s="171"/>
      <c r="C2" s="171"/>
      <c r="D2" s="171"/>
      <c r="E2" s="171"/>
      <c r="F2" s="171"/>
      <c r="G2" s="171"/>
      <c r="H2" s="171"/>
      <c r="I2" s="171"/>
      <c r="J2" s="171"/>
    </row>
    <row r="3" spans="1:10" ht="66" customHeight="1" thickBot="1" x14ac:dyDescent="0.3">
      <c r="A3" s="172" t="s">
        <v>109</v>
      </c>
      <c r="B3" s="173"/>
      <c r="C3" s="173"/>
      <c r="D3" s="173"/>
      <c r="E3" s="173"/>
      <c r="F3" s="173"/>
      <c r="G3" s="173"/>
      <c r="H3" s="173"/>
      <c r="I3" s="173"/>
      <c r="J3" s="173"/>
    </row>
    <row r="4" spans="1:10" ht="28.9" customHeight="1" thickBot="1" x14ac:dyDescent="0.3">
      <c r="A4" s="29" t="s">
        <v>21</v>
      </c>
      <c r="B4" s="46" t="s">
        <v>93</v>
      </c>
      <c r="C4" s="46"/>
      <c r="D4" s="46" t="s">
        <v>28</v>
      </c>
      <c r="E4" s="83"/>
      <c r="F4" s="46"/>
      <c r="G4" s="46" t="s">
        <v>96</v>
      </c>
      <c r="H4" s="46" t="s">
        <v>35</v>
      </c>
      <c r="I4" s="46" t="s">
        <v>87</v>
      </c>
      <c r="J4" s="30" t="s">
        <v>44</v>
      </c>
    </row>
    <row r="5" spans="1:10" ht="13.15" customHeight="1" x14ac:dyDescent="0.25">
      <c r="A5" s="5" t="s">
        <v>31</v>
      </c>
      <c r="B5" s="126">
        <v>4000</v>
      </c>
      <c r="C5" s="79" t="s">
        <v>34</v>
      </c>
      <c r="D5" s="128">
        <v>0.6</v>
      </c>
      <c r="E5" s="81"/>
      <c r="F5" s="73" t="s">
        <v>29</v>
      </c>
      <c r="G5" s="68">
        <f>B5*D5</f>
        <v>2400</v>
      </c>
      <c r="H5" s="68">
        <f>G5/$B$5</f>
        <v>0.6</v>
      </c>
      <c r="I5" s="118">
        <f>G5*$B$8</f>
        <v>36000</v>
      </c>
      <c r="J5" s="130"/>
    </row>
    <row r="6" spans="1:10" ht="13.15" customHeight="1" x14ac:dyDescent="0.25">
      <c r="A6" s="125" t="s">
        <v>32</v>
      </c>
      <c r="B6" s="127">
        <v>0</v>
      </c>
      <c r="C6" s="80" t="s">
        <v>34</v>
      </c>
      <c r="D6" s="129">
        <v>0</v>
      </c>
      <c r="E6" s="84"/>
      <c r="F6" s="74" t="s">
        <v>29</v>
      </c>
      <c r="G6" s="66">
        <f>B6*D6</f>
        <v>0</v>
      </c>
      <c r="H6" s="66">
        <f>G6/$B$5</f>
        <v>0</v>
      </c>
      <c r="I6" s="119">
        <f>G6*$B$8</f>
        <v>0</v>
      </c>
      <c r="J6" s="130"/>
    </row>
    <row r="7" spans="1:10" ht="13.15" customHeight="1" x14ac:dyDescent="0.25">
      <c r="A7" s="7" t="s">
        <v>11</v>
      </c>
      <c r="B7" s="47"/>
      <c r="C7" s="47"/>
      <c r="D7" s="43"/>
      <c r="E7" s="85"/>
      <c r="F7" s="48"/>
      <c r="G7" s="48">
        <f>SUM(G5:G6)</f>
        <v>2400</v>
      </c>
      <c r="H7" s="48">
        <f>SUM(H5:H6)</f>
        <v>0.6</v>
      </c>
      <c r="I7" s="47">
        <f>SUM(I5:I6)</f>
        <v>36000</v>
      </c>
      <c r="J7" s="8"/>
    </row>
    <row r="8" spans="1:10" ht="13.15" customHeight="1" thickBot="1" x14ac:dyDescent="0.3">
      <c r="A8" s="147" t="s">
        <v>78</v>
      </c>
      <c r="B8" s="148">
        <v>15</v>
      </c>
      <c r="C8" s="43"/>
      <c r="D8" s="43"/>
      <c r="E8" s="85"/>
      <c r="F8" s="43"/>
      <c r="G8" s="43"/>
      <c r="H8" s="43"/>
      <c r="I8" s="55"/>
      <c r="J8" s="25"/>
    </row>
    <row r="9" spans="1:10" ht="28.9" customHeight="1" thickBot="1" x14ac:dyDescent="0.3">
      <c r="A9" s="20" t="s">
        <v>9</v>
      </c>
      <c r="B9" s="104" t="s">
        <v>51</v>
      </c>
      <c r="C9" s="49"/>
      <c r="D9" s="105" t="s">
        <v>77</v>
      </c>
      <c r="E9" s="86"/>
      <c r="F9" s="50"/>
      <c r="G9" s="50" t="s">
        <v>95</v>
      </c>
      <c r="H9" s="50" t="s">
        <v>36</v>
      </c>
      <c r="I9" s="117" t="s">
        <v>88</v>
      </c>
      <c r="J9" s="114" t="s">
        <v>44</v>
      </c>
    </row>
    <row r="10" spans="1:10" ht="15" customHeight="1" x14ac:dyDescent="0.25">
      <c r="A10" s="21" t="s">
        <v>0</v>
      </c>
      <c r="B10" s="51"/>
      <c r="C10" s="51"/>
      <c r="D10" s="51"/>
      <c r="E10" s="87"/>
      <c r="F10" s="51"/>
      <c r="G10" s="51"/>
      <c r="H10" s="51"/>
      <c r="I10" s="51"/>
      <c r="J10" s="8"/>
    </row>
    <row r="11" spans="1:10" ht="13.15" customHeight="1" x14ac:dyDescent="0.25">
      <c r="A11" s="9" t="s">
        <v>6</v>
      </c>
      <c r="B11" s="115" t="s">
        <v>33</v>
      </c>
      <c r="C11" s="52"/>
      <c r="D11" s="131">
        <v>2127</v>
      </c>
      <c r="E11" s="81"/>
      <c r="F11" s="73"/>
      <c r="G11" s="68">
        <f>D11/$B$8</f>
        <v>141.80000000000001</v>
      </c>
      <c r="H11" s="68">
        <f>G11/$B$5</f>
        <v>3.5450000000000002E-2</v>
      </c>
      <c r="I11" s="53">
        <f>G11*$B$8</f>
        <v>2127</v>
      </c>
      <c r="J11" s="130"/>
    </row>
    <row r="12" spans="1:10" ht="13.15" customHeight="1" x14ac:dyDescent="0.25">
      <c r="A12" s="9" t="s">
        <v>38</v>
      </c>
      <c r="B12" s="88"/>
      <c r="C12" s="53"/>
      <c r="D12" s="43"/>
      <c r="E12" s="85"/>
      <c r="F12" s="73"/>
      <c r="G12" s="68"/>
      <c r="H12" s="68"/>
      <c r="I12" s="68"/>
      <c r="J12" s="10"/>
    </row>
    <row r="13" spans="1:10" ht="13.15" customHeight="1" x14ac:dyDescent="0.25">
      <c r="A13" s="39" t="s">
        <v>39</v>
      </c>
      <c r="B13" s="115" t="s">
        <v>33</v>
      </c>
      <c r="C13" s="52"/>
      <c r="D13" s="131">
        <v>211</v>
      </c>
      <c r="E13" s="88"/>
      <c r="F13" s="73"/>
      <c r="G13" s="68">
        <f>D13/$B$8</f>
        <v>14.066666666666666</v>
      </c>
      <c r="H13" s="103">
        <f t="shared" ref="H13:H20" si="0">G13/$B$5</f>
        <v>3.5166666666666666E-3</v>
      </c>
      <c r="I13" s="53">
        <f t="shared" ref="I13:I20" si="1">G13*$B$8</f>
        <v>211</v>
      </c>
      <c r="J13" s="130"/>
    </row>
    <row r="14" spans="1:10" ht="13.15" customHeight="1" x14ac:dyDescent="0.25">
      <c r="A14" s="39" t="s">
        <v>40</v>
      </c>
      <c r="B14" s="115" t="s">
        <v>33</v>
      </c>
      <c r="C14" s="52"/>
      <c r="D14" s="131">
        <v>2254</v>
      </c>
      <c r="E14" s="88"/>
      <c r="F14" s="73"/>
      <c r="G14" s="68">
        <f>D14/$B$8</f>
        <v>150.26666666666668</v>
      </c>
      <c r="H14" s="68">
        <f t="shared" si="0"/>
        <v>3.7566666666666672E-2</v>
      </c>
      <c r="I14" s="53">
        <f t="shared" si="1"/>
        <v>2254</v>
      </c>
      <c r="J14" s="130"/>
    </row>
    <row r="15" spans="1:10" ht="13.15" customHeight="1" x14ac:dyDescent="0.25">
      <c r="A15" s="39" t="s">
        <v>41</v>
      </c>
      <c r="B15" s="115" t="s">
        <v>33</v>
      </c>
      <c r="C15" s="52"/>
      <c r="D15" s="131">
        <v>394</v>
      </c>
      <c r="E15" s="88"/>
      <c r="F15" s="73"/>
      <c r="G15" s="68">
        <f>D15/$B$8</f>
        <v>26.266666666666666</v>
      </c>
      <c r="H15" s="68">
        <f t="shared" si="0"/>
        <v>6.5666666666666668E-3</v>
      </c>
      <c r="I15" s="53">
        <f t="shared" si="1"/>
        <v>394</v>
      </c>
      <c r="J15" s="135"/>
    </row>
    <row r="16" spans="1:10" ht="13.15" customHeight="1" x14ac:dyDescent="0.25">
      <c r="A16" s="39" t="s">
        <v>42</v>
      </c>
      <c r="B16" s="115" t="s">
        <v>33</v>
      </c>
      <c r="C16" s="52"/>
      <c r="D16" s="131">
        <v>75</v>
      </c>
      <c r="E16" s="88"/>
      <c r="F16" s="73"/>
      <c r="G16" s="68">
        <f>D16/$B$8</f>
        <v>5</v>
      </c>
      <c r="H16" s="103">
        <f t="shared" si="0"/>
        <v>1.25E-3</v>
      </c>
      <c r="I16" s="53">
        <f t="shared" si="1"/>
        <v>75</v>
      </c>
      <c r="J16" s="135"/>
    </row>
    <row r="17" spans="1:10" ht="13.15" customHeight="1" x14ac:dyDescent="0.25">
      <c r="A17" s="39" t="s">
        <v>43</v>
      </c>
      <c r="B17" s="115" t="s">
        <v>33</v>
      </c>
      <c r="C17" s="52"/>
      <c r="D17" s="131">
        <v>260</v>
      </c>
      <c r="E17" s="81"/>
      <c r="F17" s="75"/>
      <c r="G17" s="68">
        <f>D17/$B$8</f>
        <v>17.333333333333332</v>
      </c>
      <c r="H17" s="103">
        <f t="shared" si="0"/>
        <v>4.3333333333333331E-3</v>
      </c>
      <c r="I17" s="53">
        <f t="shared" si="1"/>
        <v>260</v>
      </c>
      <c r="J17" s="135"/>
    </row>
    <row r="18" spans="1:10" ht="13.15" customHeight="1" x14ac:dyDescent="0.25">
      <c r="A18" s="9" t="s">
        <v>46</v>
      </c>
      <c r="B18" s="132">
        <v>0.28299999999999997</v>
      </c>
      <c r="C18" s="52"/>
      <c r="D18" s="128">
        <v>3.44</v>
      </c>
      <c r="E18" s="81"/>
      <c r="F18" s="75" t="s">
        <v>29</v>
      </c>
      <c r="G18" s="108">
        <f>B18*D18</f>
        <v>0.97351999999999994</v>
      </c>
      <c r="H18" s="109">
        <f t="shared" si="0"/>
        <v>2.4337999999999999E-4</v>
      </c>
      <c r="I18" s="53">
        <f t="shared" si="1"/>
        <v>14.602799999999998</v>
      </c>
      <c r="J18" s="135"/>
    </row>
    <row r="19" spans="1:10" ht="13.15" customHeight="1" x14ac:dyDescent="0.25">
      <c r="A19" s="9" t="s">
        <v>45</v>
      </c>
      <c r="B19" s="126">
        <v>2</v>
      </c>
      <c r="C19" s="52"/>
      <c r="D19" s="128">
        <v>136.22999999999999</v>
      </c>
      <c r="E19" s="81"/>
      <c r="F19" s="107" t="s">
        <v>29</v>
      </c>
      <c r="G19" s="108">
        <f>B19*D19</f>
        <v>272.45999999999998</v>
      </c>
      <c r="H19" s="108">
        <f t="shared" si="0"/>
        <v>6.8114999999999995E-2</v>
      </c>
      <c r="I19" s="53">
        <f t="shared" si="1"/>
        <v>4086.8999999999996</v>
      </c>
      <c r="J19" s="135"/>
    </row>
    <row r="20" spans="1:10" ht="13.15" customHeight="1" x14ac:dyDescent="0.25">
      <c r="A20" s="9" t="s">
        <v>47</v>
      </c>
      <c r="B20" s="132">
        <v>0.20399999999999999</v>
      </c>
      <c r="C20" s="52"/>
      <c r="D20" s="128">
        <v>738.76</v>
      </c>
      <c r="E20" s="88"/>
      <c r="F20" s="111" t="s">
        <v>29</v>
      </c>
      <c r="G20" s="108">
        <f>(B20*D20)/7.5</f>
        <v>20.094271999999997</v>
      </c>
      <c r="H20" s="112">
        <f t="shared" si="0"/>
        <v>5.0235679999999991E-3</v>
      </c>
      <c r="I20" s="53">
        <f t="shared" si="1"/>
        <v>301.41407999999996</v>
      </c>
      <c r="J20" s="135"/>
    </row>
    <row r="21" spans="1:10" ht="13.15" customHeight="1" x14ac:dyDescent="0.25">
      <c r="A21" s="9" t="s">
        <v>48</v>
      </c>
      <c r="B21" s="53"/>
      <c r="C21" s="53"/>
      <c r="D21" s="43"/>
      <c r="E21" s="85"/>
      <c r="F21" s="73"/>
      <c r="G21" s="68"/>
      <c r="H21" s="112"/>
      <c r="I21" s="112"/>
      <c r="J21" s="10"/>
    </row>
    <row r="22" spans="1:10" ht="13.15" customHeight="1" x14ac:dyDescent="0.25">
      <c r="A22" s="39" t="s">
        <v>50</v>
      </c>
      <c r="B22" s="115" t="s">
        <v>33</v>
      </c>
      <c r="C22" s="52"/>
      <c r="D22" s="115" t="s">
        <v>33</v>
      </c>
      <c r="E22" s="88"/>
      <c r="F22" s="111"/>
      <c r="G22" s="115" t="s">
        <v>33</v>
      </c>
      <c r="H22" s="115" t="s">
        <v>33</v>
      </c>
      <c r="I22" s="115" t="s">
        <v>33</v>
      </c>
      <c r="J22" s="8"/>
    </row>
    <row r="23" spans="1:10" ht="13.15" customHeight="1" x14ac:dyDescent="0.25">
      <c r="A23" s="39" t="s">
        <v>49</v>
      </c>
      <c r="B23" s="132">
        <v>1.744</v>
      </c>
      <c r="C23" s="52"/>
      <c r="D23" s="128">
        <v>69.61</v>
      </c>
      <c r="E23" s="88"/>
      <c r="F23" s="111" t="s">
        <v>29</v>
      </c>
      <c r="G23" s="108">
        <f>B23*D23</f>
        <v>121.39984</v>
      </c>
      <c r="H23" s="108">
        <f t="shared" ref="H23" si="2">G23/$B$5</f>
        <v>3.0349959999999999E-2</v>
      </c>
      <c r="I23" s="53">
        <f t="shared" ref="I23" si="3">G23*$B$8</f>
        <v>1820.9975999999999</v>
      </c>
      <c r="J23" s="130"/>
    </row>
    <row r="24" spans="1:10" ht="13.15" customHeight="1" x14ac:dyDescent="0.25">
      <c r="A24" s="9" t="s">
        <v>52</v>
      </c>
      <c r="B24" s="126">
        <v>500</v>
      </c>
      <c r="C24" s="52"/>
      <c r="D24" s="128">
        <v>5.45</v>
      </c>
      <c r="E24" s="88"/>
      <c r="F24" s="111" t="s">
        <v>29</v>
      </c>
      <c r="G24" s="108">
        <f>(B24*D24)/$B$8</f>
        <v>181.66666666666666</v>
      </c>
      <c r="H24" s="108">
        <f>G24/$B$5</f>
        <v>4.5416666666666668E-2</v>
      </c>
      <c r="I24" s="144">
        <f>G24*$B$8</f>
        <v>2725</v>
      </c>
      <c r="J24" s="130"/>
    </row>
    <row r="25" spans="1:10" ht="13.15" customHeight="1" x14ac:dyDescent="0.25">
      <c r="A25" s="145" t="s">
        <v>107</v>
      </c>
      <c r="B25" s="126">
        <v>0</v>
      </c>
      <c r="C25" s="52"/>
      <c r="D25" s="128">
        <v>0</v>
      </c>
      <c r="E25" s="88"/>
      <c r="F25" s="106" t="s">
        <v>29</v>
      </c>
      <c r="G25" s="66">
        <f>(B25*D25)/$B$8</f>
        <v>0</v>
      </c>
      <c r="H25" s="146">
        <f>G25/$B$5</f>
        <v>0</v>
      </c>
      <c r="I25" s="119">
        <f>G25*$B$8</f>
        <v>0</v>
      </c>
      <c r="J25" s="134"/>
    </row>
    <row r="26" spans="1:10" ht="13.15" customHeight="1" x14ac:dyDescent="0.25">
      <c r="A26" s="27" t="s">
        <v>18</v>
      </c>
      <c r="B26" s="166"/>
      <c r="C26" s="166"/>
      <c r="D26" s="167"/>
      <c r="E26" s="89"/>
      <c r="F26" s="68"/>
      <c r="G26" s="120">
        <f>SUM(G11:G25)</f>
        <v>951.32763199999999</v>
      </c>
      <c r="H26" s="120">
        <f>SUM(H11:H25)</f>
        <v>0.23783190800000001</v>
      </c>
      <c r="I26" s="121">
        <f>SUM(I11:I25)</f>
        <v>14269.914479999999</v>
      </c>
      <c r="J26" s="8"/>
    </row>
    <row r="27" spans="1:10" ht="13.15" customHeight="1" x14ac:dyDescent="0.25">
      <c r="A27" s="28" t="s">
        <v>1</v>
      </c>
      <c r="B27" s="53"/>
      <c r="C27" s="53"/>
      <c r="D27" s="43"/>
      <c r="E27" s="85"/>
      <c r="F27" s="68"/>
      <c r="G27" s="53"/>
      <c r="H27" s="53"/>
      <c r="I27" s="53"/>
      <c r="J27" s="149"/>
    </row>
    <row r="28" spans="1:10" ht="13.15" customHeight="1" x14ac:dyDescent="0.25">
      <c r="A28" s="9" t="s">
        <v>116</v>
      </c>
      <c r="B28" s="53"/>
      <c r="C28" s="53"/>
      <c r="D28" s="43"/>
      <c r="E28" s="85"/>
      <c r="F28" s="68"/>
      <c r="G28" s="53"/>
      <c r="H28" s="53"/>
      <c r="I28" s="53"/>
      <c r="J28" s="149"/>
    </row>
    <row r="29" spans="1:10" ht="13.5" customHeight="1" x14ac:dyDescent="0.25">
      <c r="A29" s="39" t="s">
        <v>111</v>
      </c>
      <c r="B29" s="126">
        <v>0</v>
      </c>
      <c r="C29" s="53"/>
      <c r="D29" s="128">
        <v>5.56</v>
      </c>
      <c r="E29" s="81"/>
      <c r="F29" s="68"/>
      <c r="G29" s="53">
        <f>(B29*D29)/$B$8</f>
        <v>0</v>
      </c>
      <c r="H29" s="53">
        <f t="shared" ref="H29:H36" si="4">G29/$B$5</f>
        <v>0</v>
      </c>
      <c r="I29" s="53">
        <f>G29*$B$8</f>
        <v>0</v>
      </c>
      <c r="J29" s="130"/>
    </row>
    <row r="30" spans="1:10" ht="13.5" customHeight="1" x14ac:dyDescent="0.25">
      <c r="A30" s="39" t="s">
        <v>117</v>
      </c>
      <c r="B30" s="126">
        <v>0</v>
      </c>
      <c r="C30" s="53"/>
      <c r="D30" s="128">
        <v>16.63</v>
      </c>
      <c r="E30" s="81"/>
      <c r="F30" s="68"/>
      <c r="G30" s="53">
        <f>(B30*D30)/$B$8</f>
        <v>0</v>
      </c>
      <c r="H30" s="53">
        <f>G30/$B$5</f>
        <v>0</v>
      </c>
      <c r="I30" s="53">
        <f>G30*$B$8</f>
        <v>0</v>
      </c>
      <c r="J30" s="130"/>
    </row>
    <row r="31" spans="1:10" ht="13.15" customHeight="1" x14ac:dyDescent="0.25">
      <c r="A31" s="39" t="s">
        <v>120</v>
      </c>
      <c r="B31" s="126">
        <v>200</v>
      </c>
      <c r="C31" s="53"/>
      <c r="D31" s="128">
        <v>16.63</v>
      </c>
      <c r="E31" s="81"/>
      <c r="F31" s="68"/>
      <c r="G31" s="68">
        <f>(B31*D31)/$B$8</f>
        <v>221.73333333333332</v>
      </c>
      <c r="H31" s="68">
        <f t="shared" si="4"/>
        <v>5.5433333333333328E-2</v>
      </c>
      <c r="I31" s="53">
        <f>G31*$B$8</f>
        <v>3326</v>
      </c>
      <c r="J31" s="130"/>
    </row>
    <row r="32" spans="1:10" ht="13.15" customHeight="1" x14ac:dyDescent="0.25">
      <c r="A32" s="39" t="s">
        <v>119</v>
      </c>
      <c r="B32" s="126">
        <v>0</v>
      </c>
      <c r="C32" s="53"/>
      <c r="D32" s="128">
        <v>16.63</v>
      </c>
      <c r="E32" s="81"/>
      <c r="F32" s="68"/>
      <c r="G32" s="53">
        <f>(B32*D32)/$B$8</f>
        <v>0</v>
      </c>
      <c r="H32" s="53">
        <f t="shared" si="4"/>
        <v>0</v>
      </c>
      <c r="I32" s="53">
        <f>G32*$B$8</f>
        <v>0</v>
      </c>
      <c r="J32" s="130"/>
    </row>
    <row r="33" spans="1:10" ht="13.15" customHeight="1" x14ac:dyDescent="0.25">
      <c r="A33" s="39" t="s">
        <v>112</v>
      </c>
      <c r="B33" s="133">
        <v>1.73</v>
      </c>
      <c r="C33" s="53"/>
      <c r="D33" s="128">
        <v>16.63</v>
      </c>
      <c r="E33" s="81"/>
      <c r="F33" s="68"/>
      <c r="G33" s="68">
        <f>B33*D33</f>
        <v>28.769899999999996</v>
      </c>
      <c r="H33" s="68">
        <f t="shared" si="4"/>
        <v>7.1924749999999994E-3</v>
      </c>
      <c r="I33" s="53">
        <f t="shared" ref="I33:I36" si="5">G33*$B$8</f>
        <v>431.54849999999993</v>
      </c>
      <c r="J33" s="130"/>
    </row>
    <row r="34" spans="1:10" ht="13.15" customHeight="1" x14ac:dyDescent="0.25">
      <c r="A34" s="9" t="s">
        <v>71</v>
      </c>
      <c r="B34" s="132">
        <v>19.315000000000001</v>
      </c>
      <c r="C34" s="53"/>
      <c r="D34" s="128">
        <v>4.82</v>
      </c>
      <c r="E34" s="81"/>
      <c r="F34" s="68"/>
      <c r="G34" s="68">
        <f>B34*D34</f>
        <v>93.098300000000009</v>
      </c>
      <c r="H34" s="68">
        <f t="shared" si="4"/>
        <v>2.3274575000000002E-2</v>
      </c>
      <c r="I34" s="53">
        <f t="shared" si="5"/>
        <v>1396.4745</v>
      </c>
      <c r="J34" s="135"/>
    </row>
    <row r="35" spans="1:10" ht="13.15" customHeight="1" x14ac:dyDescent="0.25">
      <c r="A35" s="9" t="s">
        <v>72</v>
      </c>
      <c r="B35" s="115" t="s">
        <v>33</v>
      </c>
      <c r="C35" s="53"/>
      <c r="D35" s="131">
        <v>191</v>
      </c>
      <c r="E35" s="81"/>
      <c r="F35" s="68"/>
      <c r="G35" s="68">
        <f>D35/$B$8</f>
        <v>12.733333333333333</v>
      </c>
      <c r="H35" s="109">
        <f t="shared" si="4"/>
        <v>3.1833333333333332E-3</v>
      </c>
      <c r="I35" s="53">
        <f t="shared" si="5"/>
        <v>191</v>
      </c>
      <c r="J35" s="135"/>
    </row>
    <row r="36" spans="1:10" ht="13.15" customHeight="1" x14ac:dyDescent="0.25">
      <c r="A36" s="38" t="s">
        <v>14</v>
      </c>
      <c r="B36" s="126">
        <v>1</v>
      </c>
      <c r="C36" s="53"/>
      <c r="D36" s="128">
        <v>84.8</v>
      </c>
      <c r="E36" s="81"/>
      <c r="F36" s="68"/>
      <c r="G36" s="66">
        <f>B36*D36</f>
        <v>84.8</v>
      </c>
      <c r="H36" s="66">
        <f t="shared" si="4"/>
        <v>2.12E-2</v>
      </c>
      <c r="I36" s="119">
        <f t="shared" si="5"/>
        <v>1272</v>
      </c>
      <c r="J36" s="134"/>
    </row>
    <row r="37" spans="1:10" ht="13.15" customHeight="1" x14ac:dyDescent="0.25">
      <c r="A37" s="27" t="s">
        <v>18</v>
      </c>
      <c r="B37" s="166"/>
      <c r="C37" s="166"/>
      <c r="D37" s="167"/>
      <c r="E37" s="89"/>
      <c r="F37" s="68"/>
      <c r="G37" s="120">
        <f>SUM(G29:G36)</f>
        <v>441.13486666666671</v>
      </c>
      <c r="H37" s="120">
        <f>SUM(H29:H36)</f>
        <v>0.11028371666666666</v>
      </c>
      <c r="I37" s="121">
        <f>SUM(I29:I36)</f>
        <v>6617.0230000000001</v>
      </c>
      <c r="J37" s="10"/>
    </row>
    <row r="38" spans="1:10" ht="13.15" customHeight="1" x14ac:dyDescent="0.25">
      <c r="A38" s="22" t="s">
        <v>2</v>
      </c>
      <c r="B38" s="53"/>
      <c r="C38" s="53"/>
      <c r="D38" s="43"/>
      <c r="E38" s="85"/>
      <c r="F38" s="68"/>
      <c r="G38" s="53"/>
      <c r="H38" s="53"/>
      <c r="I38" s="53"/>
      <c r="J38" s="8"/>
    </row>
    <row r="39" spans="1:10" ht="13.15" customHeight="1" x14ac:dyDescent="0.25">
      <c r="A39" s="9" t="s">
        <v>53</v>
      </c>
      <c r="B39" s="115" t="s">
        <v>33</v>
      </c>
      <c r="C39" s="52"/>
      <c r="D39" s="131">
        <v>145</v>
      </c>
      <c r="E39" s="88"/>
      <c r="F39" s="73"/>
      <c r="G39" s="68">
        <f t="shared" ref="G39:G47" si="6">D39/$B$8</f>
        <v>9.6666666666666661</v>
      </c>
      <c r="H39" s="103">
        <f t="shared" ref="H39:H47" si="7">G39/$B$5</f>
        <v>2.4166666666666664E-3</v>
      </c>
      <c r="I39" s="53">
        <f>G39*$B$8</f>
        <v>145</v>
      </c>
      <c r="J39" s="130"/>
    </row>
    <row r="40" spans="1:10" ht="13.15" customHeight="1" x14ac:dyDescent="0.25">
      <c r="A40" s="9" t="s">
        <v>54</v>
      </c>
      <c r="B40" s="115" t="s">
        <v>33</v>
      </c>
      <c r="C40" s="52"/>
      <c r="D40" s="131">
        <v>203</v>
      </c>
      <c r="E40" s="88"/>
      <c r="F40" s="73"/>
      <c r="G40" s="68">
        <f t="shared" si="6"/>
        <v>13.533333333333333</v>
      </c>
      <c r="H40" s="103">
        <f t="shared" si="7"/>
        <v>3.3833333333333332E-3</v>
      </c>
      <c r="I40" s="53">
        <f t="shared" ref="I40:I57" si="8">G40*$B$8</f>
        <v>203</v>
      </c>
      <c r="J40" s="135"/>
    </row>
    <row r="41" spans="1:10" ht="13.15" customHeight="1" x14ac:dyDescent="0.25">
      <c r="A41" s="9" t="s">
        <v>55</v>
      </c>
      <c r="B41" s="115" t="s">
        <v>33</v>
      </c>
      <c r="C41" s="52"/>
      <c r="D41" s="131">
        <v>62</v>
      </c>
      <c r="E41" s="88"/>
      <c r="F41" s="73"/>
      <c r="G41" s="68">
        <f t="shared" si="6"/>
        <v>4.1333333333333337</v>
      </c>
      <c r="H41" s="103">
        <f t="shared" si="7"/>
        <v>1.0333333333333334E-3</v>
      </c>
      <c r="I41" s="53">
        <f t="shared" si="8"/>
        <v>62.000000000000007</v>
      </c>
      <c r="J41" s="135"/>
    </row>
    <row r="42" spans="1:10" ht="13.15" customHeight="1" x14ac:dyDescent="0.25">
      <c r="A42" s="9" t="s">
        <v>56</v>
      </c>
      <c r="B42" s="115" t="s">
        <v>33</v>
      </c>
      <c r="C42" s="52"/>
      <c r="D42" s="131">
        <v>118</v>
      </c>
      <c r="E42" s="88"/>
      <c r="F42" s="73"/>
      <c r="G42" s="68">
        <f t="shared" si="6"/>
        <v>7.8666666666666663</v>
      </c>
      <c r="H42" s="103">
        <f t="shared" si="7"/>
        <v>1.9666666666666665E-3</v>
      </c>
      <c r="I42" s="53">
        <f t="shared" si="8"/>
        <v>118</v>
      </c>
      <c r="J42" s="135"/>
    </row>
    <row r="43" spans="1:10" ht="13.15" customHeight="1" x14ac:dyDescent="0.25">
      <c r="A43" s="9" t="s">
        <v>57</v>
      </c>
      <c r="B43" s="115" t="s">
        <v>33</v>
      </c>
      <c r="C43" s="52"/>
      <c r="D43" s="131">
        <v>20</v>
      </c>
      <c r="E43" s="88"/>
      <c r="F43" s="73"/>
      <c r="G43" s="68">
        <f t="shared" si="6"/>
        <v>1.3333333333333333</v>
      </c>
      <c r="H43" s="110">
        <f t="shared" si="7"/>
        <v>3.3333333333333332E-4</v>
      </c>
      <c r="I43" s="53">
        <f t="shared" si="8"/>
        <v>20</v>
      </c>
      <c r="J43" s="135"/>
    </row>
    <row r="44" spans="1:10" ht="13.15" customHeight="1" x14ac:dyDescent="0.25">
      <c r="A44" s="9" t="s">
        <v>113</v>
      </c>
      <c r="B44" s="115" t="s">
        <v>33</v>
      </c>
      <c r="C44" s="53"/>
      <c r="D44" s="131">
        <v>147</v>
      </c>
      <c r="E44" s="85"/>
      <c r="F44" s="68"/>
      <c r="G44" s="108">
        <f>D44/$B$8</f>
        <v>9.8000000000000007</v>
      </c>
      <c r="H44" s="112">
        <f>G44/$B$5</f>
        <v>2.4500000000000004E-3</v>
      </c>
      <c r="I44" s="144">
        <f>G44*$B$8</f>
        <v>147</v>
      </c>
      <c r="J44" s="135"/>
    </row>
    <row r="45" spans="1:10" ht="13.15" customHeight="1" x14ac:dyDescent="0.25">
      <c r="A45" s="9" t="s">
        <v>58</v>
      </c>
      <c r="B45" s="115" t="s">
        <v>33</v>
      </c>
      <c r="C45" s="52"/>
      <c r="D45" s="131">
        <v>566</v>
      </c>
      <c r="E45" s="88"/>
      <c r="F45" s="73"/>
      <c r="G45" s="68">
        <f t="shared" si="6"/>
        <v>37.733333333333334</v>
      </c>
      <c r="H45" s="103">
        <f t="shared" si="7"/>
        <v>9.4333333333333335E-3</v>
      </c>
      <c r="I45" s="53">
        <f t="shared" si="8"/>
        <v>566</v>
      </c>
      <c r="J45" s="135"/>
    </row>
    <row r="46" spans="1:10" ht="13.15" customHeight="1" x14ac:dyDescent="0.25">
      <c r="A46" s="9" t="s">
        <v>59</v>
      </c>
      <c r="B46" s="115" t="s">
        <v>33</v>
      </c>
      <c r="C46" s="52"/>
      <c r="D46" s="131">
        <v>36</v>
      </c>
      <c r="E46" s="88"/>
      <c r="F46" s="73"/>
      <c r="G46" s="68">
        <f t="shared" si="6"/>
        <v>2.4</v>
      </c>
      <c r="H46" s="109">
        <f t="shared" si="7"/>
        <v>5.9999999999999995E-4</v>
      </c>
      <c r="I46" s="53">
        <f t="shared" si="8"/>
        <v>36</v>
      </c>
      <c r="J46" s="135"/>
    </row>
    <row r="47" spans="1:10" ht="13.15" customHeight="1" x14ac:dyDescent="0.25">
      <c r="A47" s="9" t="s">
        <v>110</v>
      </c>
      <c r="B47" s="115" t="s">
        <v>33</v>
      </c>
      <c r="C47" s="52"/>
      <c r="D47" s="131">
        <v>0</v>
      </c>
      <c r="E47" s="88"/>
      <c r="F47" s="73"/>
      <c r="G47" s="53">
        <f t="shared" si="6"/>
        <v>0</v>
      </c>
      <c r="H47" s="53">
        <f t="shared" si="7"/>
        <v>0</v>
      </c>
      <c r="I47" s="53">
        <f t="shared" ref="I47" si="9">G47*$B$8</f>
        <v>0</v>
      </c>
      <c r="J47" s="135"/>
    </row>
    <row r="48" spans="1:10" ht="13.15" customHeight="1" x14ac:dyDescent="0.25">
      <c r="A48" s="9" t="s">
        <v>60</v>
      </c>
      <c r="B48" s="115" t="s">
        <v>33</v>
      </c>
      <c r="C48" s="52"/>
      <c r="D48" s="131">
        <v>0</v>
      </c>
      <c r="E48" s="88"/>
      <c r="F48" s="73"/>
      <c r="G48" s="68">
        <f t="shared" ref="G48:G49" si="10">D48/$B$8</f>
        <v>0</v>
      </c>
      <c r="H48" s="103">
        <f t="shared" ref="H48:H51" si="11">G48/$B$5</f>
        <v>0</v>
      </c>
      <c r="I48" s="53">
        <f t="shared" si="8"/>
        <v>0</v>
      </c>
      <c r="J48" s="135"/>
    </row>
    <row r="49" spans="1:10" ht="13.15" customHeight="1" x14ac:dyDescent="0.25">
      <c r="A49" s="9" t="s">
        <v>61</v>
      </c>
      <c r="B49" s="115" t="s">
        <v>33</v>
      </c>
      <c r="C49" s="52"/>
      <c r="D49" s="131">
        <v>319</v>
      </c>
      <c r="E49" s="88"/>
      <c r="F49" s="73"/>
      <c r="G49" s="68">
        <f t="shared" si="10"/>
        <v>21.266666666666666</v>
      </c>
      <c r="H49" s="103">
        <f t="shared" si="11"/>
        <v>5.3166666666666666E-3</v>
      </c>
      <c r="I49" s="53">
        <f t="shared" si="8"/>
        <v>319</v>
      </c>
      <c r="J49" s="135"/>
    </row>
    <row r="50" spans="1:10" ht="13.15" customHeight="1" x14ac:dyDescent="0.25">
      <c r="A50" s="9" t="s">
        <v>114</v>
      </c>
      <c r="B50" s="115" t="s">
        <v>33</v>
      </c>
      <c r="C50" s="52"/>
      <c r="D50" s="131">
        <v>411</v>
      </c>
      <c r="E50" s="88"/>
      <c r="F50" s="73"/>
      <c r="G50" s="68">
        <f t="shared" ref="G50:G51" si="12">D50/$B$8</f>
        <v>27.4</v>
      </c>
      <c r="H50" s="109">
        <f t="shared" si="11"/>
        <v>6.8499999999999993E-3</v>
      </c>
      <c r="I50" s="53">
        <f t="shared" si="8"/>
        <v>411</v>
      </c>
      <c r="J50" s="135"/>
    </row>
    <row r="51" spans="1:10" ht="13.15" customHeight="1" x14ac:dyDescent="0.25">
      <c r="A51" s="9" t="s">
        <v>62</v>
      </c>
      <c r="B51" s="115" t="s">
        <v>33</v>
      </c>
      <c r="C51" s="52"/>
      <c r="D51" s="131">
        <v>500</v>
      </c>
      <c r="E51" s="88"/>
      <c r="F51" s="73"/>
      <c r="G51" s="68">
        <f t="shared" si="12"/>
        <v>33.333333333333336</v>
      </c>
      <c r="H51" s="109">
        <f t="shared" si="11"/>
        <v>8.3333333333333332E-3</v>
      </c>
      <c r="I51" s="53">
        <f t="shared" si="8"/>
        <v>500.00000000000006</v>
      </c>
      <c r="J51" s="135"/>
    </row>
    <row r="52" spans="1:10" ht="13.15" customHeight="1" x14ac:dyDescent="0.25">
      <c r="A52" s="9" t="s">
        <v>105</v>
      </c>
      <c r="B52" s="115">
        <f>$B$5</f>
        <v>4000</v>
      </c>
      <c r="C52" s="52"/>
      <c r="D52" s="143">
        <v>7.4999999999999997E-3</v>
      </c>
      <c r="E52" s="88"/>
      <c r="F52" s="73"/>
      <c r="G52" s="68">
        <f>B52*D52</f>
        <v>30</v>
      </c>
      <c r="H52" s="103">
        <f>G52/$B$5</f>
        <v>7.4999999999999997E-3</v>
      </c>
      <c r="I52" s="53">
        <f>G52*$B$8</f>
        <v>450</v>
      </c>
      <c r="J52" s="135"/>
    </row>
    <row r="53" spans="1:10" ht="13.15" customHeight="1" x14ac:dyDescent="0.25">
      <c r="A53" s="9" t="s">
        <v>106</v>
      </c>
      <c r="B53" s="115">
        <f>$B$5</f>
        <v>4000</v>
      </c>
      <c r="C53" s="52"/>
      <c r="D53" s="131">
        <v>0</v>
      </c>
      <c r="E53" s="88"/>
      <c r="F53" s="73"/>
      <c r="G53" s="53">
        <f>B53*D53</f>
        <v>0</v>
      </c>
      <c r="H53" s="53">
        <f t="shared" ref="H53" si="13">G53/$B$5</f>
        <v>0</v>
      </c>
      <c r="I53" s="53">
        <f>G53*$B$8</f>
        <v>0</v>
      </c>
      <c r="J53" s="135"/>
    </row>
    <row r="54" spans="1:10" ht="13.15" customHeight="1" x14ac:dyDescent="0.25">
      <c r="A54" s="9" t="s">
        <v>115</v>
      </c>
      <c r="B54" s="115" t="s">
        <v>33</v>
      </c>
      <c r="C54" s="52"/>
      <c r="D54" s="131">
        <v>0</v>
      </c>
      <c r="E54" s="88"/>
      <c r="F54" s="73"/>
      <c r="G54" s="53">
        <f>D54/$B$8</f>
        <v>0</v>
      </c>
      <c r="H54" s="53">
        <f>G54/$B$5</f>
        <v>0</v>
      </c>
      <c r="I54" s="53">
        <f>G54*$B$8</f>
        <v>0</v>
      </c>
      <c r="J54" s="135"/>
    </row>
    <row r="55" spans="1:10" ht="13.15" customHeight="1" x14ac:dyDescent="0.25">
      <c r="A55" s="9" t="s">
        <v>64</v>
      </c>
      <c r="B55" s="115" t="s">
        <v>33</v>
      </c>
      <c r="C55" s="52"/>
      <c r="D55" s="131">
        <v>874</v>
      </c>
      <c r="E55" s="88"/>
      <c r="F55" s="73"/>
      <c r="G55" s="68">
        <f>D55/$B$8</f>
        <v>58.266666666666666</v>
      </c>
      <c r="H55" s="103">
        <f>G55/$B$5</f>
        <v>1.4566666666666667E-2</v>
      </c>
      <c r="I55" s="53">
        <f>G55*$B$8</f>
        <v>874</v>
      </c>
      <c r="J55" s="135"/>
    </row>
    <row r="56" spans="1:10" ht="13.15" customHeight="1" x14ac:dyDescent="0.25">
      <c r="A56" s="9" t="s">
        <v>63</v>
      </c>
      <c r="B56" s="115" t="s">
        <v>33</v>
      </c>
      <c r="C56" s="52"/>
      <c r="D56" s="131">
        <v>384</v>
      </c>
      <c r="E56" s="88"/>
      <c r="F56" s="73"/>
      <c r="G56" s="68">
        <f>D56/$B$8</f>
        <v>25.6</v>
      </c>
      <c r="H56" s="109">
        <f>G56/$B$5</f>
        <v>6.4000000000000003E-3</v>
      </c>
      <c r="I56" s="53">
        <f t="shared" si="8"/>
        <v>384</v>
      </c>
      <c r="J56" s="135"/>
    </row>
    <row r="57" spans="1:10" ht="13.15" customHeight="1" x14ac:dyDescent="0.25">
      <c r="A57" s="9" t="s">
        <v>65</v>
      </c>
      <c r="B57" s="115" t="s">
        <v>33</v>
      </c>
      <c r="C57" s="52"/>
      <c r="D57" s="131">
        <v>600</v>
      </c>
      <c r="E57" s="88"/>
      <c r="F57" s="73"/>
      <c r="G57" s="108">
        <f t="shared" ref="G57" si="14">D57/$B$8</f>
        <v>40</v>
      </c>
      <c r="H57" s="112">
        <f t="shared" ref="H57" si="15">G57/$B$5</f>
        <v>0.01</v>
      </c>
      <c r="I57" s="53">
        <f t="shared" si="8"/>
        <v>600</v>
      </c>
      <c r="J57" s="135"/>
    </row>
    <row r="58" spans="1:10" ht="13.15" customHeight="1" x14ac:dyDescent="0.25">
      <c r="A58" s="145" t="s">
        <v>107</v>
      </c>
      <c r="B58" s="126">
        <v>0</v>
      </c>
      <c r="C58" s="52"/>
      <c r="D58" s="128">
        <v>0</v>
      </c>
      <c r="E58" s="88"/>
      <c r="F58" s="106" t="s">
        <v>29</v>
      </c>
      <c r="G58" s="66">
        <f>(B58*D58)/$B$8</f>
        <v>0</v>
      </c>
      <c r="H58" s="146">
        <f>G58/$B$5</f>
        <v>0</v>
      </c>
      <c r="I58" s="119">
        <f>G58*$B$8</f>
        <v>0</v>
      </c>
      <c r="J58" s="134"/>
    </row>
    <row r="59" spans="1:10" ht="13.15" customHeight="1" x14ac:dyDescent="0.25">
      <c r="A59" s="27" t="s">
        <v>18</v>
      </c>
      <c r="B59" s="166"/>
      <c r="C59" s="166"/>
      <c r="D59" s="167"/>
      <c r="E59" s="89"/>
      <c r="F59" s="68"/>
      <c r="G59" s="120">
        <f>SUM(G39:G58)</f>
        <v>322.33333333333337</v>
      </c>
      <c r="H59" s="120">
        <f>SUM(H39:H58)</f>
        <v>8.0583333333333326E-2</v>
      </c>
      <c r="I59" s="121">
        <f>SUM(I39:I58)</f>
        <v>4835</v>
      </c>
      <c r="J59" s="8"/>
    </row>
    <row r="60" spans="1:10" ht="13.15" customHeight="1" thickBot="1" x14ac:dyDescent="0.3">
      <c r="A60" s="40" t="s">
        <v>3</v>
      </c>
      <c r="B60" s="54"/>
      <c r="C60" s="54"/>
      <c r="D60" s="55"/>
      <c r="E60" s="90"/>
      <c r="F60" s="55"/>
      <c r="G60" s="56">
        <f>G26+G37+G59</f>
        <v>1714.7958320000002</v>
      </c>
      <c r="H60" s="56">
        <f>H26+H37+H59</f>
        <v>0.42869895800000002</v>
      </c>
      <c r="I60" s="54">
        <f>I26+I37+I59</f>
        <v>25721.937480000001</v>
      </c>
      <c r="J60" s="25"/>
    </row>
    <row r="61" spans="1:10" ht="13.15" customHeight="1" thickBot="1" x14ac:dyDescent="0.3">
      <c r="A61" s="23" t="s">
        <v>12</v>
      </c>
      <c r="B61" s="55"/>
      <c r="C61" s="55"/>
      <c r="D61" s="55"/>
      <c r="E61" s="90"/>
      <c r="F61" s="55"/>
      <c r="G61" s="55"/>
      <c r="H61" s="55"/>
      <c r="I61" s="55"/>
      <c r="J61" s="55"/>
    </row>
    <row r="62" spans="1:10" ht="13.15" customHeight="1" x14ac:dyDescent="0.25">
      <c r="A62" s="9" t="s">
        <v>22</v>
      </c>
      <c r="B62" s="126">
        <v>1</v>
      </c>
      <c r="C62" s="53"/>
      <c r="D62" s="128">
        <v>675.04</v>
      </c>
      <c r="E62" s="81"/>
      <c r="F62" s="43"/>
      <c r="G62" s="68">
        <f>B62*D62</f>
        <v>675.04</v>
      </c>
      <c r="H62" s="82">
        <f>G62/$B$5</f>
        <v>0.16875999999999999</v>
      </c>
      <c r="I62" s="118">
        <f>G62*$B$8</f>
        <v>10125.599999999999</v>
      </c>
      <c r="J62" s="137"/>
    </row>
    <row r="63" spans="1:10" ht="13.15" customHeight="1" x14ac:dyDescent="0.25">
      <c r="A63" s="9" t="s">
        <v>23</v>
      </c>
      <c r="B63" s="126">
        <v>1</v>
      </c>
      <c r="C63" s="53"/>
      <c r="D63" s="128">
        <v>653.02</v>
      </c>
      <c r="E63" s="81"/>
      <c r="F63" s="43"/>
      <c r="G63" s="66">
        <f>B63*D63</f>
        <v>653.02</v>
      </c>
      <c r="H63" s="66">
        <f>G63/$B$5</f>
        <v>0.16325499999999998</v>
      </c>
      <c r="I63" s="119">
        <f>G63*$B$8</f>
        <v>9795.2999999999993</v>
      </c>
      <c r="J63" s="136"/>
    </row>
    <row r="64" spans="1:10" ht="13.15" customHeight="1" x14ac:dyDescent="0.25">
      <c r="A64" s="7" t="s">
        <v>13</v>
      </c>
      <c r="B64" s="47"/>
      <c r="C64" s="47"/>
      <c r="D64" s="43"/>
      <c r="E64" s="85"/>
      <c r="F64" s="43"/>
      <c r="G64" s="48">
        <f>SUM(G62:G63)</f>
        <v>1328.06</v>
      </c>
      <c r="H64" s="48">
        <f>SUM(H62:H63)</f>
        <v>0.33201499999999995</v>
      </c>
      <c r="I64" s="47">
        <f>SUM(I62:I63)</f>
        <v>19920.899999999998</v>
      </c>
      <c r="J64" s="8"/>
    </row>
    <row r="65" spans="1:10" ht="7.9" customHeight="1" thickBot="1" x14ac:dyDescent="0.3">
      <c r="A65" s="6"/>
      <c r="B65" s="43"/>
      <c r="C65" s="43"/>
      <c r="D65" s="43"/>
      <c r="E65" s="85"/>
      <c r="F65" s="43"/>
      <c r="G65" s="43"/>
      <c r="H65" s="43"/>
      <c r="I65" s="43"/>
      <c r="J65" s="25"/>
    </row>
    <row r="66" spans="1:10" ht="13.15" customHeight="1" thickBot="1" x14ac:dyDescent="0.3">
      <c r="A66" s="19" t="s">
        <v>24</v>
      </c>
      <c r="B66" s="57"/>
      <c r="C66" s="57"/>
      <c r="D66" s="58"/>
      <c r="E66" s="91"/>
      <c r="F66" s="58"/>
      <c r="G66" s="59">
        <f>G60+G64</f>
        <v>3042.8558320000002</v>
      </c>
      <c r="H66" s="59">
        <f>H60+H64</f>
        <v>0.76071395799999997</v>
      </c>
      <c r="I66" s="57">
        <f>I60+I64</f>
        <v>45642.837480000002</v>
      </c>
      <c r="J66" s="25"/>
    </row>
    <row r="67" spans="1:10" ht="6" customHeight="1" x14ac:dyDescent="0.25">
      <c r="A67" s="41"/>
      <c r="B67" s="60"/>
      <c r="C67" s="60"/>
      <c r="D67" s="61"/>
      <c r="E67" s="92"/>
      <c r="F67" s="62"/>
      <c r="G67" s="60"/>
      <c r="H67" s="60"/>
      <c r="I67" s="60"/>
      <c r="J67" s="8"/>
    </row>
    <row r="68" spans="1:10" ht="30" customHeight="1" x14ac:dyDescent="0.25">
      <c r="A68" s="42"/>
      <c r="B68" s="43"/>
      <c r="C68" s="43"/>
      <c r="D68" s="64" t="s">
        <v>10</v>
      </c>
      <c r="E68" s="93"/>
      <c r="F68" s="64" t="s">
        <v>30</v>
      </c>
      <c r="G68" s="142" t="s">
        <v>103</v>
      </c>
      <c r="H68" s="142" t="s">
        <v>104</v>
      </c>
      <c r="I68" s="76" t="s">
        <v>102</v>
      </c>
      <c r="J68" s="142" t="s">
        <v>123</v>
      </c>
    </row>
    <row r="69" spans="1:10" ht="13.15" customHeight="1" x14ac:dyDescent="0.25">
      <c r="A69" s="7" t="s">
        <v>4</v>
      </c>
      <c r="B69" s="47"/>
      <c r="C69" s="47"/>
      <c r="D69" s="101">
        <f>G7</f>
        <v>2400</v>
      </c>
      <c r="E69" s="85" t="s">
        <v>33</v>
      </c>
      <c r="F69" s="101">
        <f>G60+G64</f>
        <v>3042.8558320000002</v>
      </c>
      <c r="G69" s="138">
        <f>D69-F69</f>
        <v>-642.85583200000019</v>
      </c>
      <c r="H69" s="138">
        <f>G69/$B$5</f>
        <v>-0.16071395800000005</v>
      </c>
      <c r="I69" s="140">
        <f>I7-I66</f>
        <v>-9642.837480000002</v>
      </c>
      <c r="J69" s="138">
        <f>(G69*$B$8)/($B$76+$D$76)</f>
        <v>-12.585274706342993</v>
      </c>
    </row>
    <row r="70" spans="1:10" ht="13.15" customHeight="1" thickBot="1" x14ac:dyDescent="0.3">
      <c r="A70" s="23" t="s">
        <v>5</v>
      </c>
      <c r="B70" s="54"/>
      <c r="C70" s="54"/>
      <c r="D70" s="102">
        <f>G7</f>
        <v>2400</v>
      </c>
      <c r="E70" s="90" t="s">
        <v>33</v>
      </c>
      <c r="F70" s="102">
        <f>G60</f>
        <v>1714.7958320000002</v>
      </c>
      <c r="G70" s="139">
        <f>D70-F70</f>
        <v>685.20416799999975</v>
      </c>
      <c r="H70" s="139">
        <f>G70/$B$5</f>
        <v>0.17130104199999993</v>
      </c>
      <c r="I70" s="141">
        <f>I7-I60</f>
        <v>10278.062519999999</v>
      </c>
      <c r="J70" s="139">
        <f>(G70*$B$8)/($B$76+$D$76)</f>
        <v>13.41433375097885</v>
      </c>
    </row>
    <row r="71" spans="1:10" ht="7.9" customHeight="1" thickBot="1" x14ac:dyDescent="0.3">
      <c r="A71" s="24"/>
      <c r="B71" s="63"/>
      <c r="C71" s="63"/>
      <c r="D71" s="63"/>
      <c r="E71" s="94"/>
      <c r="F71" s="63"/>
      <c r="G71" s="63"/>
      <c r="H71" s="63"/>
      <c r="I71" s="63"/>
      <c r="J71" s="26"/>
    </row>
    <row r="72" spans="1:10" ht="13.9" customHeight="1" thickTop="1" x14ac:dyDescent="0.25">
      <c r="A72" s="7" t="s">
        <v>67</v>
      </c>
      <c r="B72" s="43"/>
      <c r="C72" s="43"/>
      <c r="D72" s="43"/>
      <c r="E72" s="85"/>
      <c r="G72" s="113" t="s">
        <v>97</v>
      </c>
      <c r="H72" s="113" t="s">
        <v>66</v>
      </c>
      <c r="I72" s="113" t="s">
        <v>11</v>
      </c>
      <c r="J72" s="8"/>
    </row>
    <row r="73" spans="1:10" ht="13.15" customHeight="1" x14ac:dyDescent="0.25">
      <c r="A73" s="9" t="s">
        <v>25</v>
      </c>
      <c r="B73" s="64"/>
      <c r="C73" s="64"/>
      <c r="D73" s="43"/>
      <c r="E73" s="85"/>
      <c r="G73" s="68">
        <f>G66</f>
        <v>3042.8558320000002</v>
      </c>
      <c r="H73" s="68">
        <f>G73/$B$5</f>
        <v>0.76071395800000008</v>
      </c>
      <c r="I73" s="53">
        <f>I66</f>
        <v>45642.837480000002</v>
      </c>
      <c r="J73" s="130"/>
    </row>
    <row r="74" spans="1:10" ht="13.15" customHeight="1" x14ac:dyDescent="0.25">
      <c r="A74" s="9" t="s">
        <v>26</v>
      </c>
      <c r="B74" s="64"/>
      <c r="C74" s="64"/>
      <c r="D74" s="43"/>
      <c r="E74" s="85"/>
      <c r="G74" s="68">
        <f>G60</f>
        <v>1714.7958320000002</v>
      </c>
      <c r="H74" s="68">
        <f>G74/$B$5</f>
        <v>0.42869895800000007</v>
      </c>
      <c r="I74" s="53">
        <f>I60</f>
        <v>25721.937480000001</v>
      </c>
      <c r="J74" s="135"/>
    </row>
    <row r="75" spans="1:10" ht="13.15" customHeight="1" x14ac:dyDescent="0.25">
      <c r="A75" s="147" t="s">
        <v>121</v>
      </c>
      <c r="B75" s="152" t="s">
        <v>124</v>
      </c>
      <c r="C75" s="153"/>
      <c r="D75" s="152" t="s">
        <v>125</v>
      </c>
      <c r="E75" s="95"/>
      <c r="F75" s="18"/>
      <c r="G75" s="18"/>
      <c r="H75" s="18"/>
      <c r="I75" s="18"/>
      <c r="J75" s="8"/>
    </row>
    <row r="76" spans="1:10" x14ac:dyDescent="0.25">
      <c r="A76" s="154" t="s">
        <v>122</v>
      </c>
      <c r="B76" s="155">
        <v>566.20000000000005</v>
      </c>
      <c r="C76" s="6"/>
      <c r="D76" s="156">
        <v>200</v>
      </c>
      <c r="G76" s="31"/>
      <c r="H76" s="31" t="s">
        <v>15</v>
      </c>
      <c r="I76" s="31"/>
      <c r="J76" s="12"/>
    </row>
    <row r="77" spans="1:10" ht="7.9" customHeight="1" x14ac:dyDescent="0.25">
      <c r="A77" s="6"/>
      <c r="B77" s="6"/>
      <c r="C77" s="6"/>
      <c r="D77" s="6"/>
      <c r="E77" s="97"/>
      <c r="F77" s="6"/>
      <c r="G77" s="6"/>
      <c r="H77" s="6"/>
      <c r="I77" s="6"/>
      <c r="J77" s="6"/>
    </row>
    <row r="78" spans="1:10" ht="18.75" x14ac:dyDescent="0.3">
      <c r="A78" s="13" t="s">
        <v>17</v>
      </c>
      <c r="B78" s="6"/>
      <c r="C78" s="6"/>
      <c r="D78" s="6"/>
      <c r="E78" s="97"/>
      <c r="F78" s="6"/>
      <c r="G78" s="6"/>
      <c r="H78" s="6"/>
      <c r="I78" s="6"/>
      <c r="J78" s="11"/>
    </row>
    <row r="79" spans="1:10" ht="9.75" customHeight="1" x14ac:dyDescent="0.3">
      <c r="A79" s="13"/>
      <c r="B79" s="6"/>
      <c r="C79" s="6"/>
      <c r="D79" s="6"/>
      <c r="E79" s="97"/>
      <c r="F79" s="6"/>
      <c r="G79" s="6"/>
      <c r="H79" s="6"/>
      <c r="I79" s="6"/>
      <c r="J79" s="11"/>
    </row>
    <row r="80" spans="1:10" x14ac:dyDescent="0.25">
      <c r="A80" s="14" t="s">
        <v>20</v>
      </c>
      <c r="B80" s="6"/>
      <c r="C80" s="6"/>
      <c r="D80" s="6"/>
      <c r="E80" s="97"/>
      <c r="F80" s="6"/>
      <c r="G80" s="6"/>
      <c r="H80" s="6"/>
      <c r="I80" s="6"/>
      <c r="J80" s="11"/>
    </row>
    <row r="81" spans="1:10" ht="46.9" customHeight="1" x14ac:dyDescent="0.25">
      <c r="A81" s="161" t="s">
        <v>73</v>
      </c>
      <c r="B81" s="162"/>
      <c r="C81" s="162"/>
      <c r="D81" s="162"/>
      <c r="E81" s="162"/>
      <c r="F81" s="162"/>
      <c r="G81" s="162"/>
      <c r="H81" s="162"/>
      <c r="I81" s="162"/>
      <c r="J81" s="162"/>
    </row>
    <row r="82" spans="1:10" ht="57.75" customHeight="1" x14ac:dyDescent="0.25">
      <c r="A82" s="163" t="s">
        <v>74</v>
      </c>
      <c r="B82" s="160"/>
      <c r="C82" s="160"/>
      <c r="D82" s="160"/>
      <c r="E82" s="160"/>
      <c r="F82" s="160"/>
      <c r="G82" s="160"/>
      <c r="H82" s="160"/>
      <c r="I82" s="160"/>
      <c r="J82" s="160"/>
    </row>
    <row r="83" spans="1:10" s="1" customFormat="1" ht="19.899999999999999" customHeight="1" x14ac:dyDescent="0.25">
      <c r="A83" s="33" t="s">
        <v>19</v>
      </c>
      <c r="B83" s="6"/>
      <c r="C83" s="6"/>
      <c r="D83" s="6"/>
      <c r="E83" s="97"/>
      <c r="F83" s="6"/>
      <c r="G83" s="6"/>
      <c r="H83" s="6"/>
      <c r="I83" s="6"/>
      <c r="J83" s="11"/>
    </row>
    <row r="84" spans="1:10" ht="16.899999999999999" customHeight="1" x14ac:dyDescent="0.25">
      <c r="A84" s="158" t="s">
        <v>75</v>
      </c>
      <c r="B84" s="159"/>
      <c r="C84" s="159"/>
      <c r="D84" s="159"/>
      <c r="E84" s="159"/>
      <c r="F84" s="159"/>
      <c r="G84" s="159"/>
      <c r="H84" s="159"/>
      <c r="I84" s="159"/>
      <c r="J84" s="159"/>
    </row>
    <row r="85" spans="1:10" ht="16.149999999999999" customHeight="1" x14ac:dyDescent="0.25">
      <c r="A85" s="158" t="s">
        <v>68</v>
      </c>
      <c r="B85" s="159"/>
      <c r="C85" s="159"/>
      <c r="D85" s="159"/>
      <c r="E85" s="159"/>
      <c r="F85" s="159"/>
      <c r="G85" s="159"/>
      <c r="H85" s="159"/>
      <c r="I85" s="159"/>
      <c r="J85" s="159"/>
    </row>
    <row r="86" spans="1:10" ht="15" customHeight="1" x14ac:dyDescent="0.25">
      <c r="A86" s="164" t="s">
        <v>69</v>
      </c>
      <c r="B86" s="165"/>
      <c r="C86" s="165"/>
      <c r="D86" s="165"/>
      <c r="E86" s="165"/>
      <c r="F86" s="165"/>
      <c r="G86" s="165"/>
      <c r="H86" s="165"/>
      <c r="I86" s="165"/>
      <c r="J86" s="165"/>
    </row>
    <row r="87" spans="1:10" ht="13.9" customHeight="1" x14ac:dyDescent="0.25">
      <c r="A87" s="45" t="s">
        <v>70</v>
      </c>
      <c r="B87" s="6"/>
      <c r="C87" s="6"/>
      <c r="D87" s="6"/>
      <c r="E87" s="97"/>
      <c r="F87" s="6"/>
      <c r="G87" s="122" t="s">
        <v>91</v>
      </c>
      <c r="H87" s="150">
        <f>I36</f>
        <v>1272</v>
      </c>
      <c r="I87" s="45" t="s">
        <v>108</v>
      </c>
      <c r="J87" s="11"/>
    </row>
    <row r="88" spans="1:10" ht="13.5" customHeight="1" x14ac:dyDescent="0.25">
      <c r="A88" s="71"/>
      <c r="B88" s="72"/>
      <c r="C88" s="78"/>
      <c r="D88" s="72"/>
      <c r="E88" s="98"/>
      <c r="F88" s="72"/>
      <c r="G88" s="122" t="s">
        <v>118</v>
      </c>
      <c r="H88" s="150">
        <f>I35</f>
        <v>191</v>
      </c>
      <c r="I88" s="45" t="s">
        <v>108</v>
      </c>
      <c r="J88" s="72"/>
    </row>
    <row r="89" spans="1:10" ht="13.5" customHeight="1" x14ac:dyDescent="0.25">
      <c r="A89" s="71"/>
      <c r="B89" s="151"/>
      <c r="C89" s="151"/>
      <c r="D89" s="151"/>
      <c r="E89" s="98"/>
      <c r="F89" s="151"/>
      <c r="G89" s="122"/>
      <c r="H89" s="150"/>
      <c r="I89" s="45"/>
      <c r="J89" s="151"/>
    </row>
    <row r="90" spans="1:10" ht="13.5" customHeight="1" x14ac:dyDescent="0.25">
      <c r="A90" s="71"/>
      <c r="B90" s="151"/>
      <c r="C90" s="151"/>
      <c r="D90" s="151"/>
      <c r="E90" s="98"/>
      <c r="F90" s="151"/>
      <c r="G90" s="122" t="s">
        <v>127</v>
      </c>
      <c r="H90" s="157">
        <v>2</v>
      </c>
      <c r="I90" s="45" t="s">
        <v>128</v>
      </c>
      <c r="J90" s="151"/>
    </row>
    <row r="91" spans="1:10" ht="15" customHeight="1" x14ac:dyDescent="0.25">
      <c r="A91" s="158" t="s">
        <v>76</v>
      </c>
      <c r="B91" s="159"/>
      <c r="C91" s="159"/>
      <c r="D91" s="159"/>
      <c r="E91" s="159"/>
      <c r="F91" s="159"/>
      <c r="G91" s="159"/>
      <c r="J91" s="72"/>
    </row>
    <row r="92" spans="1:10" s="70" customFormat="1" ht="39" customHeight="1" x14ac:dyDescent="0.25">
      <c r="A92" s="32" t="s">
        <v>7</v>
      </c>
      <c r="B92" s="65" t="str">
        <f>CONCATENATE("Cost/acre for Labor @ $",D33,"/hour")</f>
        <v>Cost/acre for Labor @ $16.63/hour</v>
      </c>
      <c r="C92" s="65"/>
      <c r="D92" s="65" t="str">
        <f>CONCATENATE("Cost/acre for Diesel Fuel @ $",D34,"/gallon &amp; Oil")</f>
        <v>Cost/acre for Diesel Fuel @ $4.82/gallon &amp; Oil</v>
      </c>
      <c r="E92" s="99"/>
      <c r="F92" s="65" t="s">
        <v>89</v>
      </c>
      <c r="G92" s="65" t="s">
        <v>90</v>
      </c>
      <c r="H92" s="65" t="s">
        <v>94</v>
      </c>
      <c r="I92" s="123" t="s">
        <v>8</v>
      </c>
      <c r="J92" s="36" t="s">
        <v>44</v>
      </c>
    </row>
    <row r="93" spans="1:10" ht="12.75" customHeight="1" x14ac:dyDescent="0.25">
      <c r="A93" s="116" t="s">
        <v>79</v>
      </c>
      <c r="B93" s="68"/>
      <c r="C93" s="68"/>
      <c r="D93" s="68"/>
      <c r="E93" s="81"/>
      <c r="F93" s="68"/>
      <c r="G93" s="68"/>
      <c r="H93" s="68"/>
      <c r="I93" s="68"/>
      <c r="J93" s="8"/>
    </row>
    <row r="94" spans="1:10" ht="12.75" customHeight="1" x14ac:dyDescent="0.25">
      <c r="A94" s="15" t="s">
        <v>81</v>
      </c>
      <c r="B94" s="81">
        <f>IF(B23=0,0,((1+7.5+1+1)/15)*$D$33)</f>
        <v>11.640999999999998</v>
      </c>
      <c r="C94" s="68"/>
      <c r="D94" s="81">
        <f>IF(B23=0,0,(((0.9+5.06+0.9+0.9)/15)*$D$34)+($H$88*(G94/$G$107))/$B$8)</f>
        <v>4.0168459750569676</v>
      </c>
      <c r="E94" s="81"/>
      <c r="F94" s="81">
        <f>IF(B23=0,0,($H$87*(G94/$G$107))/$B$8)</f>
        <v>10.144694870536449</v>
      </c>
      <c r="G94" s="81">
        <f>IF(B23=0,0,(130.81+43.83+0.98+0.36+1.79+0.82+(4*0.32)+6.01))</f>
        <v>185.87999999999997</v>
      </c>
      <c r="H94" s="68">
        <f>IF(B23=0,0,121.4*(G23/121.4))</f>
        <v>121.39984</v>
      </c>
      <c r="I94" s="48">
        <f>SUM(B94:H94)</f>
        <v>333.08238084559338</v>
      </c>
      <c r="J94" s="130"/>
    </row>
    <row r="95" spans="1:10" ht="12.75" customHeight="1" x14ac:dyDescent="0.25">
      <c r="A95" s="15" t="s">
        <v>82</v>
      </c>
      <c r="B95" s="81">
        <f>IF(D11=0,0,((1+16.67+1+1)/15)*$D$33)</f>
        <v>21.807473333333334</v>
      </c>
      <c r="C95" s="68"/>
      <c r="D95" s="81">
        <f>IF(D11=0,0,(((1+16.7+1+1)/15)*$D$34)+($H$88*(G95/$G$107))/$B$8)</f>
        <v>7.4338145732076493</v>
      </c>
      <c r="E95" s="81"/>
      <c r="F95" s="81">
        <f>IF(D11=0,0,($H$87*(G95/$G$107))/$B$8)</f>
        <v>7.3492823932991094</v>
      </c>
      <c r="G95" s="81">
        <f>IF(D11=0,0,(130.81+3.85))</f>
        <v>134.66</v>
      </c>
      <c r="H95" s="68">
        <f>IF(D11=0,0,(86.03+55.78)*(G11/141.81))</f>
        <v>141.80000000000001</v>
      </c>
      <c r="I95" s="48">
        <f t="shared" ref="I95:I106" si="16">SUM(B95:H95)</f>
        <v>313.0505702998401</v>
      </c>
      <c r="J95" s="130"/>
    </row>
    <row r="96" spans="1:10" ht="12.75" customHeight="1" x14ac:dyDescent="0.25">
      <c r="A96" s="15" t="s">
        <v>83</v>
      </c>
      <c r="B96" s="81">
        <f>IF(B20=0,0,((1+17.66+1+1)/15)*$D$33)</f>
        <v>22.905053333333331</v>
      </c>
      <c r="C96" s="68"/>
      <c r="D96" s="81">
        <f>IF(B20=0,0,(((1+16.7+1+1)/15)*$D$34)+($H$88*(G96/$G$107))/$B$8)</f>
        <v>7.4338145732076493</v>
      </c>
      <c r="E96" s="81"/>
      <c r="F96" s="81">
        <f>IF(B20=0,0,($H$87*(G96/$G$107))/$B$8)</f>
        <v>7.3492823932991094</v>
      </c>
      <c r="G96" s="81">
        <f>IF(B20=0,0,(130.81+3.85))</f>
        <v>134.66</v>
      </c>
      <c r="H96" s="68">
        <f>IF(B20=0,0,20.09*(G20/20.09))</f>
        <v>20.094271999999997</v>
      </c>
      <c r="I96" s="48">
        <f t="shared" si="16"/>
        <v>192.44242229984008</v>
      </c>
      <c r="J96" s="130"/>
    </row>
    <row r="97" spans="1:10" ht="12.75" customHeight="1" x14ac:dyDescent="0.25">
      <c r="A97" s="15" t="s">
        <v>98</v>
      </c>
      <c r="B97" s="81">
        <f>IF(D14=0,0,((1+3.8+1+1)/15)*$D$33)</f>
        <v>7.5389333333333326</v>
      </c>
      <c r="C97" s="68"/>
      <c r="D97" s="81">
        <f>IF(D14=0,0,(((1+3.8+1+1)/15)*$D$34)+($H$88*(G97/$G$107))/$B$8)</f>
        <v>3.3922821888923234</v>
      </c>
      <c r="E97" s="81"/>
      <c r="F97" s="81">
        <f>IF(D14=0,0,($H$87*(G97/$G$107))/$B$8)</f>
        <v>8.0396761480158911</v>
      </c>
      <c r="G97" s="81">
        <f>IF(D14=0,0,(130.81+12.31+0.52+2.67+0.2+(3*0.2666667)))</f>
        <v>147.3100001</v>
      </c>
      <c r="H97" s="68">
        <f>IF(D14=0,0,(22+13.61+12.57+94.88+0.13+7.08)*(G14/150.27))</f>
        <v>150.26666666666668</v>
      </c>
      <c r="I97" s="48">
        <f t="shared" si="16"/>
        <v>316.54755843690822</v>
      </c>
      <c r="J97" s="130"/>
    </row>
    <row r="98" spans="1:10" ht="12.75" customHeight="1" x14ac:dyDescent="0.25">
      <c r="A98" s="15" t="s">
        <v>100</v>
      </c>
      <c r="B98" s="81">
        <f>IF(D15=0,0,((1+3.8+1+1)/15)*$D$33)</f>
        <v>7.5389333333333326</v>
      </c>
      <c r="C98" s="68"/>
      <c r="D98" s="81">
        <f>IF(D15=0,0,(((1+3.8+1+1)/15)*$D$34)+($H$88*(G98/$G$107))/$B$8)</f>
        <v>3.3922821888923234</v>
      </c>
      <c r="E98" s="81"/>
      <c r="F98" s="81">
        <f>IF(D15=0,0,($H$87*(G98/$G$107))/$B$8)</f>
        <v>8.0396761480158911</v>
      </c>
      <c r="G98" s="81">
        <f>IF(D15=0,0,(130.81+12.31+0.52+2.67+0.2+(3*0.2666667)))</f>
        <v>147.3100001</v>
      </c>
      <c r="H98" s="68">
        <f>IF(D15=0,0,(2.99+4.57+12.57+6.14)*(G15/26.27))</f>
        <v>26.266666666666669</v>
      </c>
      <c r="I98" s="48">
        <f t="shared" ref="I98" si="17">SUM(B98:H98)</f>
        <v>192.54755843690822</v>
      </c>
      <c r="J98" s="130"/>
    </row>
    <row r="99" spans="1:10" ht="12.75" customHeight="1" x14ac:dyDescent="0.25">
      <c r="A99" s="15" t="s">
        <v>99</v>
      </c>
      <c r="B99" s="81">
        <f>IF(D16=0,0,((1+16.67+16.67)/15)*$D$33)</f>
        <v>38.071613333333332</v>
      </c>
      <c r="C99" s="68"/>
      <c r="D99" s="81">
        <f>IF(D16=0,0,(((0.7+0+0)/15)*$D$34)+($H$88*(G99/$G$107))/$B$8)</f>
        <v>0.36564265722542205</v>
      </c>
      <c r="E99" s="81"/>
      <c r="F99" s="81">
        <f>IF(D16=0,0,($H$87*(G99/$G$107))/$B$8)</f>
        <v>0.93707989523946</v>
      </c>
      <c r="G99" s="81">
        <f>IF(D16=0,0,(9.95+0.2+0.27+0.13+(2*0.165)+1.94+1.07+1.95+1.33))</f>
        <v>17.169999999999998</v>
      </c>
      <c r="H99" s="68">
        <f>IF(D16=0,0,(4.8+0.2+0.01)*(G16/5.01))</f>
        <v>5</v>
      </c>
      <c r="I99" s="48">
        <f t="shared" si="16"/>
        <v>61.544335885798205</v>
      </c>
      <c r="J99" s="130"/>
    </row>
    <row r="100" spans="1:10" ht="12.75" customHeight="1" x14ac:dyDescent="0.25">
      <c r="A100" s="116" t="s">
        <v>80</v>
      </c>
      <c r="B100" s="68"/>
      <c r="C100" s="68"/>
      <c r="D100" s="68"/>
      <c r="E100" s="81"/>
      <c r="F100" s="68"/>
      <c r="G100" s="68"/>
      <c r="H100" s="68"/>
      <c r="I100" s="68"/>
      <c r="J100" s="8"/>
    </row>
    <row r="101" spans="1:10" ht="12.75" customHeight="1" x14ac:dyDescent="0.25">
      <c r="A101" s="15" t="str">
        <f>CONCATENATE("   Spray ",H90,"× (Fungicide)")</f>
        <v xml:space="preserve">   Spray 2× (Fungicide)</v>
      </c>
      <c r="B101" s="81">
        <f>IF(D13=0,0,((1+(H90*3.75)+1+1)/15)*$D$33)</f>
        <v>11.640999999999998</v>
      </c>
      <c r="C101" s="81"/>
      <c r="D101" s="81">
        <f>IF(D13=0,0,(((1+(H90*3.75)+1+1)/150)*$D$34)+($H$88*(G101/$G$107))/$B$8)</f>
        <v>1.5446155222256568</v>
      </c>
      <c r="E101" s="81"/>
      <c r="F101" s="124">
        <f>IF(D13=0,0,($H$87*(G101/$G$107))/$B$8)</f>
        <v>8.0396761480158911</v>
      </c>
      <c r="G101" s="81">
        <f>IF(D13=0,0,(130.81+12.31+0.52+2.67+0.2+(3*0.2666667)))</f>
        <v>147.3100001</v>
      </c>
      <c r="H101" s="108">
        <f>IF(D13=0,0,(H90*(6.97+0.065))*(G13/14.07))</f>
        <v>14.066666666666666</v>
      </c>
      <c r="I101" s="62">
        <f t="shared" si="16"/>
        <v>182.60195843690821</v>
      </c>
      <c r="J101" s="130"/>
    </row>
    <row r="102" spans="1:10" ht="12.75" customHeight="1" x14ac:dyDescent="0.25">
      <c r="A102" s="15" t="s">
        <v>84</v>
      </c>
      <c r="B102" s="81">
        <f>IF(B19=0,0,(11/15)*$D$33)</f>
        <v>12.195333333333332</v>
      </c>
      <c r="C102" s="68"/>
      <c r="D102" s="81">
        <f>IF(B19=0,0,((1.3/15)*$D$34)+($H$88*(G102/$G$107))/$B$8)</f>
        <v>0.79732890017559022</v>
      </c>
      <c r="E102" s="81"/>
      <c r="F102" s="124">
        <f>IF(B19=0,0,($H$87*(G102/$G$107))/$B$8)</f>
        <v>2.5279872304887472</v>
      </c>
      <c r="G102" s="81">
        <f>IF(B19=0,0,(43.83+0.62+0.48+0.46+0.1+0.83))</f>
        <v>46.319999999999993</v>
      </c>
      <c r="H102" s="88">
        <v>0</v>
      </c>
      <c r="I102" s="62">
        <f t="shared" si="16"/>
        <v>61.840649463997664</v>
      </c>
      <c r="J102" s="130"/>
    </row>
    <row r="103" spans="1:10" ht="12.75" customHeight="1" x14ac:dyDescent="0.25">
      <c r="A103" s="15" t="s">
        <v>85</v>
      </c>
      <c r="B103" s="81">
        <f>IF(B18=0,0,(6/15)*$D$33)</f>
        <v>6.6520000000000001</v>
      </c>
      <c r="C103" s="68"/>
      <c r="D103" s="81">
        <f>IF(B18=0,0,((3/15)*$D$34)+($H$88*(G103/$G$107))/$B$8)</f>
        <v>1.0932362281757857</v>
      </c>
      <c r="E103" s="81"/>
      <c r="F103" s="124">
        <f>IF(B18=0,0,($H$87*(G103/$G$107))/$B$8)</f>
        <v>0.86067268188271906</v>
      </c>
      <c r="G103" s="81">
        <f>IF(B18=0,0,(15.77))</f>
        <v>15.77</v>
      </c>
      <c r="H103" s="108">
        <f>IF(B18=0,0,(0.2+(8*0.00375)+0.42)*(G18/0.97))</f>
        <v>0.652358762886598</v>
      </c>
      <c r="I103" s="62">
        <f t="shared" si="16"/>
        <v>25.028267672945105</v>
      </c>
      <c r="J103" s="130"/>
    </row>
    <row r="104" spans="1:10" ht="12.75" customHeight="1" x14ac:dyDescent="0.25">
      <c r="A104" s="15" t="s">
        <v>86</v>
      </c>
      <c r="B104" s="81">
        <f>IF(D17=0,0,((1+3.75+1+1)/15)*$D$33)</f>
        <v>7.4834999999999994</v>
      </c>
      <c r="C104" s="68"/>
      <c r="D104" s="81">
        <f>IF(D17=0,0,(((1+3.75+1+1)/15)*$D$34)+($H$88*(G104/$G$107))/$B$8)</f>
        <v>3.4224357078256205</v>
      </c>
      <c r="E104" s="81"/>
      <c r="F104" s="124">
        <f>IF(D17=0,0,($H$87*(G104/$G$107))/$B$8)</f>
        <v>8.3474880646816185</v>
      </c>
      <c r="G104" s="81">
        <f>IF(D17=0,0,(130.81+17.31+1.16+2.67+0.2+(3*0.2666667)))</f>
        <v>152.95000009999998</v>
      </c>
      <c r="H104" s="108">
        <f>IF(D17=0,0,(11.51+2.51+2.12+1.19)*(G17/17.33))</f>
        <v>17.333333333333336</v>
      </c>
      <c r="I104" s="62">
        <f t="shared" si="16"/>
        <v>189.53675720584056</v>
      </c>
      <c r="J104" s="130"/>
    </row>
    <row r="105" spans="1:10" ht="12.75" customHeight="1" x14ac:dyDescent="0.25">
      <c r="A105" s="15" t="s">
        <v>126</v>
      </c>
      <c r="B105" s="81">
        <f>((1+200+200+1+1+0)/15)*$D$33</f>
        <v>446.79266666666666</v>
      </c>
      <c r="C105" s="68"/>
      <c r="D105" s="81">
        <f>(((2+100+100+2+2+0)/15)*$D$34)+($H$88*(G105/$G$107))/$B$8</f>
        <v>68.14968217672471</v>
      </c>
      <c r="E105" s="81"/>
      <c r="F105" s="124">
        <f t="shared" ref="F105" si="18">($H$87*(G105/$G$107))/$B$8</f>
        <v>13.019789155988681</v>
      </c>
      <c r="G105" s="81">
        <f>(130.81+25.24+76.5+6.01)</f>
        <v>238.56</v>
      </c>
      <c r="H105" s="88">
        <v>0</v>
      </c>
      <c r="I105" s="62">
        <f t="shared" si="16"/>
        <v>766.52213799937999</v>
      </c>
      <c r="J105" s="130"/>
    </row>
    <row r="106" spans="1:10" ht="12.75" customHeight="1" x14ac:dyDescent="0.25">
      <c r="A106" s="44" t="s">
        <v>81</v>
      </c>
      <c r="B106" s="84">
        <f>IF(B23=0,0,((1+7.5+1+1)/15)*$D$33)</f>
        <v>11.640999999999998</v>
      </c>
      <c r="C106" s="66"/>
      <c r="D106" s="84">
        <f>IF(B23=0,0,(((1+0.6+1+1)/15)*$D$34)+($H$88*(G106/$G$107))/$B$8)</f>
        <v>2.6800993083903002</v>
      </c>
      <c r="E106" s="84"/>
      <c r="F106" s="84">
        <f>IF(B23=0,0,($H$87*(G106/$G$107))/$B$8)</f>
        <v>10.144694870536449</v>
      </c>
      <c r="G106" s="84">
        <f>IF(B23=0,0,(130.81+43.83+0.98+0.36+1.79+0.82+(4*0.32)+6.01))</f>
        <v>185.87999999999997</v>
      </c>
      <c r="H106" s="66">
        <f>IF(B23=0,0,121.4*(G23/121.4))</f>
        <v>121.39984</v>
      </c>
      <c r="I106" s="67">
        <f t="shared" si="16"/>
        <v>331.74563417892671</v>
      </c>
      <c r="J106" s="134"/>
    </row>
    <row r="107" spans="1:10" ht="12.75" customHeight="1" x14ac:dyDescent="0.25">
      <c r="A107" s="34" t="s">
        <v>27</v>
      </c>
      <c r="B107" s="66">
        <f>SUM(B94:B106)</f>
        <v>605.90850666666654</v>
      </c>
      <c r="C107" s="66"/>
      <c r="D107" s="66">
        <f>SUM(D94:D106)</f>
        <v>103.72207999999999</v>
      </c>
      <c r="E107" s="84"/>
      <c r="F107" s="66">
        <f>SUM(F94:F106)</f>
        <v>84.800000000000026</v>
      </c>
      <c r="G107" s="66">
        <f>SUM(G94:G106)</f>
        <v>1553.7800003999996</v>
      </c>
      <c r="H107" s="66">
        <f>SUM(H94:H106)</f>
        <v>618.27964409621995</v>
      </c>
      <c r="I107" s="67">
        <f>SUM(D107:G107)</f>
        <v>1742.3020803999996</v>
      </c>
      <c r="J107" s="35"/>
    </row>
    <row r="108" spans="1:10" ht="18" customHeight="1" x14ac:dyDescent="0.25">
      <c r="A108" s="69" t="s">
        <v>92</v>
      </c>
      <c r="B108" s="37"/>
      <c r="C108" s="37"/>
      <c r="D108" s="37"/>
      <c r="E108" s="100"/>
      <c r="F108" s="37"/>
      <c r="G108" s="77"/>
      <c r="H108" s="77"/>
      <c r="I108" s="77"/>
      <c r="J108" s="11"/>
    </row>
    <row r="109" spans="1:10" ht="37.9" hidden="1" customHeight="1" x14ac:dyDescent="0.25">
      <c r="A109" s="160"/>
      <c r="B109" s="160"/>
      <c r="C109" s="160"/>
      <c r="D109" s="160"/>
      <c r="E109" s="160"/>
      <c r="F109" s="160"/>
      <c r="G109" s="160"/>
      <c r="H109" s="160"/>
      <c r="I109" s="160"/>
      <c r="J109" s="160"/>
    </row>
    <row r="110" spans="1:10" ht="13.9" customHeight="1" x14ac:dyDescent="0.25">
      <c r="A110" s="16" t="s">
        <v>16</v>
      </c>
      <c r="B110" s="17"/>
      <c r="C110" s="17"/>
      <c r="D110" s="6"/>
      <c r="E110" s="97"/>
      <c r="F110" s="6"/>
      <c r="G110" s="6"/>
      <c r="H110" s="6"/>
      <c r="I110" s="6"/>
      <c r="J110" s="11"/>
    </row>
    <row r="111" spans="1:10" ht="16.899999999999999" customHeight="1" x14ac:dyDescent="0.25">
      <c r="A111" s="45" t="s">
        <v>37</v>
      </c>
      <c r="B111" s="6"/>
      <c r="C111" s="6"/>
      <c r="D111" s="6"/>
      <c r="E111" s="97"/>
      <c r="F111" s="6"/>
      <c r="G111" s="6"/>
      <c r="H111" s="6"/>
      <c r="I111" s="6"/>
      <c r="J111" s="11"/>
    </row>
    <row r="112" spans="1:10" ht="24" customHeight="1" x14ac:dyDescent="0.25"/>
    <row r="113" spans="10:10" ht="16.899999999999999" customHeight="1" x14ac:dyDescent="0.25">
      <c r="J113" s="4"/>
    </row>
    <row r="114" spans="10:10" ht="13.9" customHeight="1" x14ac:dyDescent="0.25">
      <c r="J114" s="4"/>
    </row>
    <row r="115" spans="10:10" ht="13.9" customHeight="1" x14ac:dyDescent="0.25">
      <c r="J115" s="4"/>
    </row>
    <row r="116" spans="10:10" ht="13.9" customHeight="1" x14ac:dyDescent="0.25">
      <c r="J116" s="4"/>
    </row>
    <row r="117" spans="10:10" ht="13.9" customHeight="1" x14ac:dyDescent="0.25">
      <c r="J117" s="4"/>
    </row>
    <row r="118" spans="10:10" ht="13.9" customHeight="1" x14ac:dyDescent="0.25">
      <c r="J118" s="4"/>
    </row>
    <row r="119" spans="10:10" ht="13.9" customHeight="1" x14ac:dyDescent="0.25">
      <c r="J119" s="4"/>
    </row>
    <row r="120" spans="10:10" ht="13.9" customHeight="1" x14ac:dyDescent="0.25">
      <c r="J120" s="4"/>
    </row>
    <row r="121" spans="10:10" ht="13.9" customHeight="1" x14ac:dyDescent="0.25">
      <c r="J121" s="4"/>
    </row>
    <row r="122" spans="10:10" ht="13.9" customHeight="1" x14ac:dyDescent="0.25">
      <c r="J122" s="4"/>
    </row>
    <row r="123" spans="10:10" ht="13.9" customHeight="1" x14ac:dyDescent="0.25">
      <c r="J123" s="4"/>
    </row>
    <row r="124" spans="10:10" ht="6.75" customHeight="1" x14ac:dyDescent="0.25">
      <c r="J124" s="4"/>
    </row>
    <row r="125" spans="10:10" ht="13.9" customHeight="1" x14ac:dyDescent="0.25">
      <c r="J125" s="4"/>
    </row>
    <row r="126" spans="10:10" ht="13.9" customHeight="1" x14ac:dyDescent="0.25">
      <c r="J126" s="4"/>
    </row>
    <row r="127" spans="10:10" ht="13.9" customHeight="1" x14ac:dyDescent="0.25">
      <c r="J127" s="4"/>
    </row>
    <row r="128" spans="10:10" ht="13.9" customHeight="1" x14ac:dyDescent="0.25">
      <c r="J128" s="4"/>
    </row>
    <row r="129" spans="10:10" ht="13.9" customHeight="1" x14ac:dyDescent="0.25">
      <c r="J129" s="4"/>
    </row>
    <row r="130" spans="10:10" ht="13.9" customHeight="1" x14ac:dyDescent="0.25">
      <c r="J130" s="4"/>
    </row>
    <row r="131" spans="10:10" ht="13.9" customHeight="1" x14ac:dyDescent="0.25">
      <c r="J131" s="4"/>
    </row>
    <row r="132" spans="10:10" ht="13.9" customHeight="1" x14ac:dyDescent="0.25">
      <c r="J132" s="4"/>
    </row>
    <row r="133" spans="10:10" ht="13.9" customHeight="1" x14ac:dyDescent="0.25"/>
    <row r="134" spans="10:10" ht="13.9" customHeight="1" x14ac:dyDescent="0.25"/>
  </sheetData>
  <sheetProtection algorithmName="SHA-512" hashValue="KmEQrQKn59DhLVp22caOK1Spt6mSOzkmIlE1PC5+zE3ebwthr0ZUwGhRGQ67t/IQmtWqiQLEoQm+9E7N5CnPUw==" saltValue="Kvd5f27XxEyh6+TiPxk7Lw==" spinCount="100000" sheet="1" objects="1" scenarios="1" selectLockedCells="1"/>
  <mergeCells count="13">
    <mergeCell ref="B59:D59"/>
    <mergeCell ref="A1:J1"/>
    <mergeCell ref="A2:J2"/>
    <mergeCell ref="A3:J3"/>
    <mergeCell ref="B26:D26"/>
    <mergeCell ref="B37:D37"/>
    <mergeCell ref="A91:G91"/>
    <mergeCell ref="A109:J109"/>
    <mergeCell ref="A81:J81"/>
    <mergeCell ref="A82:J82"/>
    <mergeCell ref="A84:J84"/>
    <mergeCell ref="A85:J85"/>
    <mergeCell ref="A86:J86"/>
  </mergeCells>
  <pageMargins left="0.7" right="0.7" top="0.75" bottom="0.75" header="0.3" footer="0.3"/>
  <pageSetup scale="56" orientation="portrait" r:id="rId1"/>
  <rowBreaks count="1" manualBreakCount="1">
    <brk id="76" max="9" man="1"/>
  </rowBreaks>
  <drawing r:id="rId2"/>
  <legacyDrawing r:id="rId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Wild BB-CONV 15 acres-FRZ</vt:lpstr>
      <vt:lpstr>'Wild BB-CONV 15 acres-FRZ'!Print_Area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Mallory</dc:creator>
  <cp:lastModifiedBy>CE Owner</cp:lastModifiedBy>
  <cp:lastPrinted>2024-05-14T23:06:30Z</cp:lastPrinted>
  <dcterms:created xsi:type="dcterms:W3CDTF">2010-01-08T17:04:22Z</dcterms:created>
  <dcterms:modified xsi:type="dcterms:W3CDTF">2024-05-14T23:06:52Z</dcterms:modified>
</cp:coreProperties>
</file>