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CE Owner\Dropbox\My PC (PC)\Desktop\Wild BB UMaine Extension Enterprise Budgets &amp; Updates\CONV500-FRZ\"/>
    </mc:Choice>
  </mc:AlternateContent>
  <bookViews>
    <workbookView xWindow="0" yWindow="0" windowWidth="24000" windowHeight="9135" tabRatio="616"/>
  </bookViews>
  <sheets>
    <sheet name="Wild BB-CONV 500 acres-FRZ" sheetId="11" r:id="rId1"/>
  </sheets>
  <definedNames>
    <definedName name="_RF1">#REF!</definedName>
    <definedName name="_RF2">#REF!</definedName>
    <definedName name="acres">#REF!</definedName>
    <definedName name="Acres_per_hour">#REF!</definedName>
    <definedName name="Acres_per_year">#REF!</definedName>
    <definedName name="Assumed_acres_per_hour">#REF!</definedName>
    <definedName name="Assumed_Application_Rate">#REF!</definedName>
    <definedName name="Assumed_Cost">#REF!</definedName>
    <definedName name="Assumed_gallons_per_hour">#REF!</definedName>
    <definedName name="Assumed_Implement">#REF!</definedName>
    <definedName name="Assumed_Passes">#REF!</definedName>
    <definedName name="Assumed_Percentage_Rate">#REF!</definedName>
    <definedName name="Assumed_Price">#REF!</definedName>
    <definedName name="Assumed_Quantity">#REF!</definedName>
    <definedName name="Assumed_Yield">#REF!</definedName>
    <definedName name="Baling_Straw">#REF!</definedName>
    <definedName name="Chilean_Nitrate">#REF!</definedName>
    <definedName name="Choose_Your_Input">#REF!</definedName>
    <definedName name="Clover_Seed_for_Green_Manure">#REF!</definedName>
    <definedName name="Combine">#REF!</definedName>
    <definedName name="Combining">#REF!</definedName>
    <definedName name="cost">#REF!</definedName>
    <definedName name="Cost_Acre">#REF!</definedName>
    <definedName name="Cost_per_acre">#REF!</definedName>
    <definedName name="Cost_Unit">#REF!</definedName>
    <definedName name="Crop_Insurance">#REF!</definedName>
    <definedName name="Current_Acres_per_hour">#REF!</definedName>
    <definedName name="Current_acres_per_year">#REF!</definedName>
    <definedName name="Current_Application_Rate">#REF!</definedName>
    <definedName name="Current_Cost">#REF!</definedName>
    <definedName name="Current_Field_Efficieny">#REF!</definedName>
    <definedName name="Current_Gallons_per_hour">#REF!</definedName>
    <definedName name="Current_Implement">#REF!</definedName>
    <definedName name="Current_implement_Lifetime_Repair">#REF!</definedName>
    <definedName name="Current_Implement_Speed">#REF!</definedName>
    <definedName name="Current_list_Price">#REF!</definedName>
    <definedName name="Current_passes">#REF!</definedName>
    <definedName name="Current_Percentage_Rate">#REF!</definedName>
    <definedName name="Current_Price">#REF!</definedName>
    <definedName name="Current_PTO_HP">#REF!</definedName>
    <definedName name="Current_Purchase_age">#REF!</definedName>
    <definedName name="Current_Quantity">#REF!</definedName>
    <definedName name="Current_Repair_per_hour">#REF!</definedName>
    <definedName name="Current_Retirement_age">#REF!</definedName>
    <definedName name="Current_RF1">#REF!</definedName>
    <definedName name="Current_RF2">#REF!</definedName>
    <definedName name="Current_width">#REF!</definedName>
    <definedName name="Dehydrated_Chicken">#REF!</definedName>
    <definedName name="Dryer_Beginning_moisture">#REF!</definedName>
    <definedName name="Dryer_BTU_gal">#REF!</definedName>
    <definedName name="Dryer_BTU_kwh">#REF!</definedName>
    <definedName name="Dryer_BTU_lb">#REF!</definedName>
    <definedName name="Dryer_Bushels_per_year">#REF!</definedName>
    <definedName name="Dryer_Capacity">#REF!</definedName>
    <definedName name="dryer_electric_cost">#REF!</definedName>
    <definedName name="dryer_electric_proportion">#REF!</definedName>
    <definedName name="Dryer_electricity_price">#REF!</definedName>
    <definedName name="Dryer_Ending_moisture">#REF!</definedName>
    <definedName name="Dryer_Initial_investment">#REF!</definedName>
    <definedName name="Dryer_Labor_Cost">#REF!</definedName>
    <definedName name="Dryer_Labor_percent_time">#REF!</definedName>
    <definedName name="Dryer_lb_water_bu">#REF!</definedName>
    <definedName name="dryer_propane_cost">#REF!</definedName>
    <definedName name="Dryer_propane_price">#REF!</definedName>
    <definedName name="dryer_repair_cost">#REF!</definedName>
    <definedName name="Dryer_repair_percent">#REF!</definedName>
    <definedName name="Drying_System">#REF!</definedName>
    <definedName name="Extra_Expenses">#REF!</definedName>
    <definedName name="Fertilizer_Spreading">#REF!</definedName>
    <definedName name="Field_Efficiency">#REF!</definedName>
    <definedName name="field_operation_cost_per_acre">#REF!</definedName>
    <definedName name="Fuel_gal_acre">#REF!</definedName>
    <definedName name="Fuel_Oil_Cost">#REF!</definedName>
    <definedName name="fuel_price">#REF!</definedName>
    <definedName name="Gallons_per_hour">#REF!</definedName>
    <definedName name="Grain_Drying">#REF!</definedName>
    <definedName name="Grain_Planting">#REF!</definedName>
    <definedName name="Harrow">#REF!</definedName>
    <definedName name="Hauling_Straw">#REF!</definedName>
    <definedName name="Hauling_Wheat">#REF!</definedName>
    <definedName name="Hours_per_year">#REF!</definedName>
    <definedName name="Implement">#REF!</definedName>
    <definedName name="Implement_category_number">#REF!</definedName>
    <definedName name="Implement_parameters">#REF!</definedName>
    <definedName name="Implement_Repair_per_hour">#REF!</definedName>
    <definedName name="Implement_speed">#REF!</definedName>
    <definedName name="Interest_on_Variable_Costs">#REF!</definedName>
    <definedName name="Labor_Cost">#REF!</definedName>
    <definedName name="labor_wage">#REF!</definedName>
    <definedName name="land_price">#REF!</definedName>
    <definedName name="land_rent_rate">#REF!</definedName>
    <definedName name="Leased_Land">#REF!</definedName>
    <definedName name="Lely">#REF!</definedName>
    <definedName name="lely_pass">#REF!</definedName>
    <definedName name="lely_pass_cost">#REF!</definedName>
    <definedName name="Lifetime_Repair">#REF!</definedName>
    <definedName name="Lime">#REF!</definedName>
    <definedName name="Lime_Spreading">#REF!</definedName>
    <definedName name="List_Price">#REF!</definedName>
    <definedName name="Maint._Cost">#REF!</definedName>
    <definedName name="Manure">#REF!</definedName>
    <definedName name="Manure_Material_Price">#REF!</definedName>
    <definedName name="Manure_Spreading">#REF!</definedName>
    <definedName name="material_cost_per_acre">#REF!</definedName>
    <definedName name="Material_Inputs">#REF!</definedName>
    <definedName name="misc_expense_rate">#REF!</definedName>
    <definedName name="miscellaneous_cost_A_per_acre">#REF!</definedName>
    <definedName name="Organic_Certification">#REF!</definedName>
    <definedName name="Planting_Clover">#REF!</definedName>
    <definedName name="Planting_Wheat">#REF!</definedName>
    <definedName name="Power_Source_HP">#REF!</definedName>
    <definedName name="Pre_Interest_Cost">#REF!</definedName>
    <definedName name="pre_misc_cost">#REF!,#REF!,#REF!,#REF!</definedName>
    <definedName name="Primary_Till">#REF!</definedName>
    <definedName name="Primary_Tillage">#REF!</definedName>
    <definedName name="_xlnm.Print_Area" localSheetId="0">'Wild BB-CONV 500 acres-FRZ'!$A$1:$J$118</definedName>
    <definedName name="Purchase_Age">#REF!</definedName>
    <definedName name="Repair_per_hour">#REF!</definedName>
    <definedName name="Retirement_Age">#REF!</definedName>
    <definedName name="Revenue">#REF!</definedName>
    <definedName name="Revenue_Acre">#REF!</definedName>
    <definedName name="Revenue_Unit">#REF!</definedName>
    <definedName name="Secondary_Tillage">#REF!</definedName>
    <definedName name="Straw">#REF!</definedName>
    <definedName name="straw_price">#REF!</definedName>
    <definedName name="straw_yield">#REF!</definedName>
    <definedName name="Subtotal_Field_Operation">#REF!</definedName>
    <definedName name="Subtotal_Material">#REF!</definedName>
    <definedName name="Subtotal_Miscellaneous">#REF!</definedName>
    <definedName name="Survey_acres_per_hour">#REF!</definedName>
    <definedName name="Survey_Choice">#REF!</definedName>
    <definedName name="Total_Cost">#REF!</definedName>
    <definedName name="Total_Cost_dol_acre">#REF!</definedName>
    <definedName name="total_cost_per_acre">#REF!</definedName>
    <definedName name="Total_Revenue">#REF!</definedName>
    <definedName name="total_revenue_per_acre">#REF!</definedName>
    <definedName name="Tractor_category_number">#REF!</definedName>
    <definedName name="Tractor_performance">#REF!</definedName>
    <definedName name="Tractor_PTO_HP">#REF!</definedName>
    <definedName name="Tractor_Repair_per_hour">#REF!</definedName>
    <definedName name="Truck_average_mph">#REF!</definedName>
    <definedName name="Truck_carrying_capacity">#REF!</definedName>
    <definedName name="Truck_shipping_distance">#REF!</definedName>
    <definedName name="Truck_shipping_price">#REF!</definedName>
    <definedName name="Unit">#REF!</definedName>
    <definedName name="Unit_Acre">#REF!</definedName>
    <definedName name="wheat_haul_pass">#REF!</definedName>
    <definedName name="wheat_haul_pass_cost">#REF!</definedName>
    <definedName name="wheat_price">#REF!</definedName>
    <definedName name="Wheat_Seed">#REF!</definedName>
    <definedName name="wheat_yield">#REF!</definedName>
    <definedName name="Width_of_implement">#REF!</definedName>
    <definedName name="Your_acres_per_hour">#REF!</definedName>
    <definedName name="Your_Application_Rate">#REF!</definedName>
    <definedName name="Your_Cost">#REF!</definedName>
    <definedName name="Your_gallons_per_hour">#REF!</definedName>
    <definedName name="Your_Implement">#REF!</definedName>
    <definedName name="Your_Passes">#REF!</definedName>
    <definedName name="Your_Percentage_Rate">#REF!</definedName>
    <definedName name="Your_Price">#REF!</definedName>
    <definedName name="Your_Quantity">#REF!</definedName>
    <definedName name="Your_Yield">#REF!</definedName>
  </definedNames>
  <calcPr calcId="152511"/>
  <customWorkbookViews>
    <customWorkbookView name="print" guid="{6888C946-AD09-47AA-9419-308DFFEE42E6}" includeHiddenRowCol="0" maximized="1" xWindow="1" yWindow="1" windowWidth="1680" windowHeight="829" activeSheetId="9"/>
  </customWorkbookViews>
  <extLst>
    <ext xmlns:mx="http://schemas.microsoft.com/office/mac/excel/2008/main" uri="http://schemas.microsoft.com/office/mac/excel/2008/main">
      <mx:ArchID Flags="2"/>
    </ext>
  </extLst>
</workbook>
</file>

<file path=xl/calcChain.xml><?xml version="1.0" encoding="utf-8"?>
<calcChain xmlns="http://schemas.openxmlformats.org/spreadsheetml/2006/main">
  <c r="H112" i="11" l="1"/>
  <c r="G112" i="11"/>
  <c r="B112" i="11"/>
  <c r="H111" i="11"/>
  <c r="G111" i="11"/>
  <c r="B111" i="11"/>
  <c r="H107" i="11"/>
  <c r="G107" i="11"/>
  <c r="B107" i="11"/>
  <c r="H106" i="11"/>
  <c r="G106" i="11"/>
  <c r="B106" i="11"/>
  <c r="H105" i="11"/>
  <c r="G105" i="11"/>
  <c r="B105" i="11"/>
  <c r="H104" i="11"/>
  <c r="G104" i="11"/>
  <c r="B104" i="11"/>
  <c r="H103" i="11"/>
  <c r="G103" i="11"/>
  <c r="B103" i="11"/>
  <c r="H101" i="11"/>
  <c r="G101" i="11"/>
  <c r="B101" i="11"/>
  <c r="H100" i="11"/>
  <c r="G100" i="11"/>
  <c r="B100" i="11"/>
  <c r="H99" i="11"/>
  <c r="G99" i="11"/>
  <c r="B99" i="11"/>
  <c r="H98" i="11"/>
  <c r="G98" i="11"/>
  <c r="B98" i="11"/>
  <c r="H97" i="11"/>
  <c r="G97" i="11"/>
  <c r="B97" i="11"/>
  <c r="H94" i="11"/>
  <c r="G94" i="11"/>
  <c r="B94" i="11"/>
  <c r="A103" i="11" l="1"/>
  <c r="G109" i="11" l="1"/>
  <c r="G108" i="11"/>
  <c r="G96" i="11"/>
  <c r="G110" i="11"/>
  <c r="G113" i="11"/>
  <c r="G95" i="11"/>
  <c r="B113" i="11"/>
  <c r="B110" i="11"/>
  <c r="B109" i="11"/>
  <c r="B108" i="11"/>
  <c r="B96" i="11"/>
  <c r="B95" i="11"/>
  <c r="J70" i="11" l="1"/>
  <c r="J69" i="11"/>
  <c r="D76" i="11"/>
  <c r="D92" i="11" l="1"/>
  <c r="H88" i="11" l="1"/>
  <c r="H87" i="11"/>
  <c r="G30" i="11"/>
  <c r="I30" i="11" s="1"/>
  <c r="H30" i="11" l="1"/>
  <c r="G29" i="11" l="1"/>
  <c r="H29" i="11" s="1"/>
  <c r="I29" i="11" l="1"/>
  <c r="G54" i="11" l="1"/>
  <c r="I54" i="11" s="1"/>
  <c r="H54" i="11" l="1"/>
  <c r="G31" i="11"/>
  <c r="I31" i="11" s="1"/>
  <c r="H31" i="11" l="1"/>
  <c r="G32" i="11" l="1"/>
  <c r="I32" i="11" s="1"/>
  <c r="H32" i="11" l="1"/>
  <c r="G47" i="11" l="1"/>
  <c r="I47" i="11" s="1"/>
  <c r="H47" i="11" l="1"/>
  <c r="B22" i="11"/>
  <c r="A1" i="11" l="1"/>
  <c r="G58" i="11" l="1"/>
  <c r="I58" i="11" s="1"/>
  <c r="G25" i="11"/>
  <c r="I25" i="11" s="1"/>
  <c r="G24" i="11"/>
  <c r="H25" i="11" l="1"/>
  <c r="H58" i="11"/>
  <c r="B53" i="11"/>
  <c r="G53" i="11" s="1"/>
  <c r="B52" i="11"/>
  <c r="G52" i="11" s="1"/>
  <c r="I52" i="11" s="1"/>
  <c r="I53" i="11" l="1"/>
  <c r="H53" i="11"/>
  <c r="G11" i="11" l="1"/>
  <c r="B92" i="11" l="1"/>
  <c r="I11" i="11"/>
  <c r="G33" i="11"/>
  <c r="H33" i="11" s="1"/>
  <c r="G5" i="11"/>
  <c r="H5" i="11" s="1"/>
  <c r="H11" i="11"/>
  <c r="G35" i="11"/>
  <c r="H35" i="11" s="1"/>
  <c r="G57" i="11"/>
  <c r="H57" i="11" s="1"/>
  <c r="H52" i="11"/>
  <c r="G55" i="11"/>
  <c r="H55" i="11" s="1"/>
  <c r="G44" i="11"/>
  <c r="H44" i="11" s="1"/>
  <c r="G56" i="11"/>
  <c r="H56" i="11" s="1"/>
  <c r="G51" i="11"/>
  <c r="H51" i="11" s="1"/>
  <c r="G50" i="11"/>
  <c r="H50" i="11" s="1"/>
  <c r="G49" i="11"/>
  <c r="H49" i="11" s="1"/>
  <c r="G48" i="11"/>
  <c r="H48" i="11" s="1"/>
  <c r="G46" i="11"/>
  <c r="H46" i="11" s="1"/>
  <c r="G45" i="11"/>
  <c r="H45" i="11" s="1"/>
  <c r="G43" i="11"/>
  <c r="H43" i="11" s="1"/>
  <c r="G42" i="11"/>
  <c r="H42" i="11" s="1"/>
  <c r="G41" i="11"/>
  <c r="H41" i="11" s="1"/>
  <c r="G40" i="11"/>
  <c r="H40" i="11" s="1"/>
  <c r="G39" i="11"/>
  <c r="H24" i="11"/>
  <c r="G22" i="11"/>
  <c r="G18" i="11"/>
  <c r="G20" i="11"/>
  <c r="I20" i="11" s="1"/>
  <c r="G19" i="11"/>
  <c r="H19" i="11" s="1"/>
  <c r="G17" i="11"/>
  <c r="G16" i="11"/>
  <c r="G15" i="11"/>
  <c r="I15" i="11" s="1"/>
  <c r="G14" i="11"/>
  <c r="G13" i="11"/>
  <c r="G63" i="11"/>
  <c r="H63" i="11" s="1"/>
  <c r="G62" i="11"/>
  <c r="H62" i="11" s="1"/>
  <c r="G36" i="11"/>
  <c r="H36" i="11" s="1"/>
  <c r="G34" i="11"/>
  <c r="H34" i="11" s="1"/>
  <c r="H16" i="11" l="1"/>
  <c r="I63" i="11"/>
  <c r="I62" i="11"/>
  <c r="I64" i="11" s="1"/>
  <c r="I33" i="11"/>
  <c r="I22" i="11"/>
  <c r="I19" i="11"/>
  <c r="H18" i="11"/>
  <c r="I16" i="11"/>
  <c r="H37" i="11"/>
  <c r="H39" i="11"/>
  <c r="H59" i="11" s="1"/>
  <c r="G59" i="11"/>
  <c r="I44" i="11"/>
  <c r="H13" i="11"/>
  <c r="G26" i="11"/>
  <c r="H17" i="11"/>
  <c r="I55" i="11"/>
  <c r="I49" i="11"/>
  <c r="I39" i="11"/>
  <c r="I43" i="11"/>
  <c r="B114" i="11"/>
  <c r="H14" i="11"/>
  <c r="I36" i="11"/>
  <c r="G37" i="11"/>
  <c r="I56" i="11"/>
  <c r="I48" i="11"/>
  <c r="I42" i="11"/>
  <c r="H15" i="11"/>
  <c r="H20" i="11"/>
  <c r="I13" i="11"/>
  <c r="I17" i="11"/>
  <c r="I35" i="11"/>
  <c r="I57" i="11"/>
  <c r="I51" i="11"/>
  <c r="I46" i="11"/>
  <c r="I41" i="11"/>
  <c r="G114" i="11"/>
  <c r="H22" i="11"/>
  <c r="I14" i="11"/>
  <c r="I18" i="11"/>
  <c r="I24" i="11"/>
  <c r="I34" i="11"/>
  <c r="I50" i="11"/>
  <c r="I45" i="11"/>
  <c r="I40" i="11"/>
  <c r="G64" i="11"/>
  <c r="I5" i="11"/>
  <c r="H64" i="11"/>
  <c r="F112" i="11" l="1"/>
  <c r="D112" i="11"/>
  <c r="F111" i="11"/>
  <c r="D111" i="11"/>
  <c r="F107" i="11"/>
  <c r="D107" i="11"/>
  <c r="D106" i="11"/>
  <c r="F106" i="11"/>
  <c r="D105" i="11"/>
  <c r="F105" i="11"/>
  <c r="D104" i="11"/>
  <c r="F104" i="11"/>
  <c r="D103" i="11"/>
  <c r="F103" i="11"/>
  <c r="F101" i="11"/>
  <c r="D101" i="11"/>
  <c r="D100" i="11"/>
  <c r="F100" i="11"/>
  <c r="D99" i="11"/>
  <c r="F99" i="11"/>
  <c r="D98" i="11"/>
  <c r="F98" i="11"/>
  <c r="D97" i="11"/>
  <c r="F97" i="11"/>
  <c r="D94" i="11"/>
  <c r="F94" i="11"/>
  <c r="D110" i="11"/>
  <c r="D113" i="11"/>
  <c r="D109" i="11"/>
  <c r="D96" i="11"/>
  <c r="D108" i="11"/>
  <c r="D95" i="11"/>
  <c r="I59" i="11"/>
  <c r="H26" i="11"/>
  <c r="H60" i="11" s="1"/>
  <c r="H66" i="11" s="1"/>
  <c r="I26" i="11"/>
  <c r="I37" i="11"/>
  <c r="G60" i="11"/>
  <c r="G66" i="11" s="1"/>
  <c r="F108" i="11"/>
  <c r="F113" i="11"/>
  <c r="F96" i="11"/>
  <c r="F95" i="11"/>
  <c r="F109" i="11"/>
  <c r="F110" i="11"/>
  <c r="H114" i="11"/>
  <c r="I100" i="11" l="1"/>
  <c r="I110" i="11"/>
  <c r="I111" i="11"/>
  <c r="I95" i="11"/>
  <c r="I103" i="11"/>
  <c r="I106" i="11"/>
  <c r="I113" i="11"/>
  <c r="I97" i="11"/>
  <c r="I104" i="11"/>
  <c r="I99" i="11"/>
  <c r="I107" i="11"/>
  <c r="I112" i="11"/>
  <c r="I109" i="11"/>
  <c r="I96" i="11"/>
  <c r="I108" i="11"/>
  <c r="I98" i="11"/>
  <c r="I105" i="11"/>
  <c r="I101" i="11"/>
  <c r="I60" i="11"/>
  <c r="F114" i="11"/>
  <c r="G6" i="11"/>
  <c r="I74" i="11" l="1"/>
  <c r="I66" i="11"/>
  <c r="I73" i="11" s="1"/>
  <c r="H6" i="11"/>
  <c r="H7" i="11" s="1"/>
  <c r="I6" i="11"/>
  <c r="I7" i="11" s="1"/>
  <c r="I70" i="11" s="1"/>
  <c r="G7" i="11"/>
  <c r="I69" i="11" l="1"/>
  <c r="D69" i="11"/>
  <c r="D70" i="11"/>
  <c r="D114" i="11" l="1"/>
  <c r="G73" i="11" l="1"/>
  <c r="H73" i="11" s="1"/>
  <c r="G74" i="11"/>
  <c r="H74" i="11" s="1"/>
  <c r="F70" i="11"/>
  <c r="G70" i="11" s="1"/>
  <c r="H70" i="11" s="1"/>
  <c r="F69" i="11"/>
  <c r="G69" i="11" s="1"/>
  <c r="H69" i="11" s="1"/>
  <c r="I94" i="11" l="1"/>
  <c r="I114" i="11"/>
</calcChain>
</file>

<file path=xl/comments1.xml><?xml version="1.0" encoding="utf-8"?>
<comments xmlns="http://schemas.openxmlformats.org/spreadsheetml/2006/main">
  <authors>
    <author>CE Owner</author>
  </authors>
  <commentList>
    <comment ref="G11" authorId="0" shapeId="0">
      <text>
        <r>
          <rPr>
            <b/>
            <sz val="9"/>
            <color indexed="81"/>
            <rFont val="Tahoma"/>
            <family val="2"/>
          </rPr>
          <t>This is the cost of fertilizer applied during both prune year and fruiting year</t>
        </r>
      </text>
    </comment>
    <comment ref="G94" authorId="0" shapeId="0">
      <text>
        <r>
          <rPr>
            <b/>
            <sz val="9"/>
            <color indexed="81"/>
            <rFont val="Tahoma"/>
            <family val="2"/>
          </rPr>
          <t>Include entire depreciation on large-sized tractor so this is not split with other implements using this tractor
Includes oil burner
Also includes pick-up truck, 2 250-gallon water tanks, large-sized water tank pump, 8 Indian backpack water tanks, and 1 trailer for water tank</t>
        </r>
      </text>
    </comment>
    <comment ref="H94" authorId="0" shapeId="0">
      <text>
        <r>
          <rPr>
            <b/>
            <sz val="9"/>
            <color indexed="81"/>
            <rFont val="Tahoma"/>
            <family val="2"/>
          </rPr>
          <t>Oil for burning</t>
        </r>
      </text>
    </comment>
    <comment ref="G95" authorId="0" shapeId="0">
      <text>
        <r>
          <rPr>
            <b/>
            <sz val="9"/>
            <color indexed="81"/>
            <rFont val="Tahoma"/>
            <family val="2"/>
          </rPr>
          <t>Include entire depreciation on large-sized tractor so this is not split with other implements using this tractor
Includes rotary mower, flail mower, flail mower side-attached, and a large side-attached flail mower
Also includes 5-ton truck and trailer for moving equipment between fields</t>
        </r>
      </text>
    </comment>
    <comment ref="H95" authorId="0" shapeId="0">
      <text>
        <r>
          <rPr>
            <b/>
            <sz val="9"/>
            <color indexed="81"/>
            <rFont val="Tahoma"/>
            <family val="2"/>
          </rPr>
          <t>Assume this is $0 since no other materials used</t>
        </r>
      </text>
    </comment>
    <comment ref="G96" authorId="0" shapeId="0">
      <text>
        <r>
          <rPr>
            <b/>
            <sz val="9"/>
            <color indexed="81"/>
            <rFont val="Tahoma"/>
            <family val="2"/>
          </rPr>
          <t>Includes large excavator and leveling bucket
Also includes large brush saw/cutter and large brush hog
Also includes 5-ton truck and trailer for moving equipment between fields</t>
        </r>
      </text>
    </comment>
    <comment ref="H96" authorId="0" shapeId="0">
      <text>
        <r>
          <rPr>
            <b/>
            <sz val="9"/>
            <color indexed="81"/>
            <rFont val="Tahoma"/>
            <family val="2"/>
          </rPr>
          <t>Assume this is $0 since no other materials used</t>
        </r>
      </text>
    </comment>
    <comment ref="G97" authorId="0" shapeId="0">
      <text>
        <r>
          <rPr>
            <b/>
            <sz val="9"/>
            <color indexed="81"/>
            <rFont val="Tahoma"/>
            <family val="2"/>
          </rPr>
          <t>Include entire depreciation on large-sized tractor so this is not split with other implements using this tractor
Includes large-sized fertilizer spreader</t>
        </r>
      </text>
    </comment>
    <comment ref="H97" authorId="0" shapeId="0">
      <text>
        <r>
          <rPr>
            <b/>
            <sz val="9"/>
            <color indexed="81"/>
            <rFont val="Tahoma"/>
            <family val="2"/>
          </rPr>
          <t>Includes MAP and DAP on prune acres
Not including DAP on fruiting acres</t>
        </r>
      </text>
    </comment>
    <comment ref="G98" authorId="0" shapeId="0">
      <text>
        <r>
          <rPr>
            <b/>
            <sz val="9"/>
            <color indexed="81"/>
            <rFont val="Tahoma"/>
            <family val="2"/>
          </rPr>
          <t>Include entire depreciation on large-sized tractor so this is not split with other implements using this tractor
Includes large-sized fertilizer spreader</t>
        </r>
      </text>
    </comment>
    <comment ref="H98" authorId="0" shapeId="0">
      <text>
        <r>
          <rPr>
            <b/>
            <sz val="9"/>
            <color indexed="81"/>
            <rFont val="Tahoma"/>
            <family val="2"/>
          </rPr>
          <t>Sulfur for lowering pH</t>
        </r>
      </text>
    </comment>
    <comment ref="G99" authorId="0" shapeId="0">
      <text>
        <r>
          <rPr>
            <b/>
            <sz val="9"/>
            <color indexed="81"/>
            <rFont val="Tahoma"/>
            <family val="2"/>
          </rPr>
          <t>Include entire depreciation on large-sized tractor so this is not split with other implements using this tractor
Also includes large-sized pull-behind boom sprayer, 60 warning signs for spraying, 2 water tanks for spraying, 2 aprons for mixing for spraying, and chem suit</t>
        </r>
      </text>
    </comment>
    <comment ref="H99" authorId="0" shapeId="0">
      <text>
        <r>
          <rPr>
            <b/>
            <sz val="9"/>
            <color indexed="81"/>
            <rFont val="Tahoma"/>
            <family val="2"/>
          </rPr>
          <t>Includes Velpar, Callisto, Diuron, and Sinbar plus adjuvants as Fastbreak Defoamer and Grounded</t>
        </r>
      </text>
    </comment>
    <comment ref="G100" authorId="0" shapeId="0">
      <text>
        <r>
          <rPr>
            <b/>
            <sz val="9"/>
            <color indexed="81"/>
            <rFont val="Tahoma"/>
            <family val="2"/>
          </rPr>
          <t>Include entire depreciation on large-sized tractor so this is not split with other implements using this tractor
Also includes large-sized pull-behind boom sprayer, large-sized air blast sprayer, 60 warning signs for spraying, 2 water tanks for spraying, 2 aprons for mixing for spraying, and chem suit</t>
        </r>
      </text>
    </comment>
    <comment ref="H100" authorId="0" shapeId="0">
      <text>
        <r>
          <rPr>
            <b/>
            <sz val="9"/>
            <color indexed="81"/>
            <rFont val="Tahoma"/>
            <family val="2"/>
          </rPr>
          <t>Includes Select, Arrow, and Callisto plus adjuvant as crop oil 
Includes Bravo as a tonic</t>
        </r>
      </text>
    </comment>
    <comment ref="G101" authorId="0" shapeId="0">
      <text>
        <r>
          <rPr>
            <b/>
            <sz val="9"/>
            <color indexed="81"/>
            <rFont val="Tahoma"/>
            <family val="2"/>
          </rPr>
          <t>Includes 2 wiper buggys, 6 hand wipers, 6 wiper sleeves, 6 buckets, and 12 gloves for hand wiping
Also includes 1 rotary cutter, 4 chainsaws, and 4 chainsaw safety equipment</t>
        </r>
      </text>
    </comment>
    <comment ref="H101" authorId="0" shapeId="0">
      <text>
        <r>
          <rPr>
            <b/>
            <sz val="9"/>
            <color indexed="81"/>
            <rFont val="Tahoma"/>
            <family val="2"/>
          </rPr>
          <t>Includes Roundup as well as adjuvants as ammonium sulfate and greenhouse grade fertilizer</t>
        </r>
      </text>
    </comment>
    <comment ref="G103" authorId="0" shapeId="0">
      <text>
        <r>
          <rPr>
            <b/>
            <sz val="9"/>
            <color indexed="81"/>
            <rFont val="Tahoma"/>
            <family val="2"/>
          </rPr>
          <t>Include entire depreciation on large-sized tractor so this is not split with other implements using this tractor
Also includes large-sized air blast sprayer, 60 warning signs for spraying, 2 water tanks for spraying, 2 aprons for mixing for spraying, and chem suit</t>
        </r>
      </text>
    </comment>
    <comment ref="H103" authorId="0" shapeId="0">
      <text>
        <r>
          <rPr>
            <b/>
            <sz val="9"/>
            <color indexed="81"/>
            <rFont val="Tahoma"/>
            <family val="2"/>
          </rPr>
          <t xml:space="preserve">Includes Bumper and adjuvant as faskbreak defoamer for fruit year
</t>
        </r>
      </text>
    </comment>
    <comment ref="G104" authorId="0" shapeId="0">
      <text>
        <r>
          <rPr>
            <b/>
            <sz val="9"/>
            <color indexed="81"/>
            <rFont val="Tahoma"/>
            <family val="2"/>
          </rPr>
          <t>Include entire depreciation on large-sized tractor so this is not split with other implements using this tractor
Includes large-sized fertilizer spreader</t>
        </r>
      </text>
    </comment>
    <comment ref="H104" authorId="0" shapeId="0">
      <text>
        <r>
          <rPr>
            <b/>
            <sz val="9"/>
            <color indexed="81"/>
            <rFont val="Tahoma"/>
            <family val="2"/>
          </rPr>
          <t>Includes DAP on fruiting acres
Not including MAP and DAP on prune acres</t>
        </r>
      </text>
    </comment>
    <comment ref="G105" authorId="0" shapeId="0">
      <text>
        <r>
          <rPr>
            <b/>
            <sz val="9"/>
            <color indexed="81"/>
            <rFont val="Tahoma"/>
            <family val="2"/>
          </rPr>
          <t>Includes large-sized pick-up truck
Assume producer owns 5 batteries, 5 chargers, 5 electrified fences, 5 plastic tool boxes to weather proof, and 1 voltage tester and these are also included</t>
        </r>
      </text>
    </comment>
    <comment ref="H105" authorId="0" shapeId="0">
      <text>
        <r>
          <rPr>
            <b/>
            <sz val="9"/>
            <color indexed="81"/>
            <rFont val="Tahoma"/>
            <family val="2"/>
          </rPr>
          <t>For rented hives at stocking density and $/hive specified</t>
        </r>
      </text>
    </comment>
    <comment ref="G106" authorId="0" shapeId="0">
      <text>
        <r>
          <rPr>
            <b/>
            <sz val="9"/>
            <color indexed="81"/>
            <rFont val="Tahoma"/>
            <family val="2"/>
          </rPr>
          <t>Includes ATV</t>
        </r>
      </text>
    </comment>
    <comment ref="H106" authorId="0" shapeId="0">
      <text>
        <r>
          <rPr>
            <b/>
            <sz val="9"/>
            <color indexed="81"/>
            <rFont val="Tahoma"/>
            <family val="2"/>
          </rPr>
          <t>Includes trap and trap stake</t>
        </r>
      </text>
    </comment>
    <comment ref="G107" authorId="0" shapeId="0">
      <text>
        <r>
          <rPr>
            <b/>
            <sz val="9"/>
            <color indexed="81"/>
            <rFont val="Tahoma"/>
            <family val="2"/>
          </rPr>
          <t>Include entire depreciation on large-sized tractor so this is not split with other implements using this tractor
Also includes large-sized air blast sprayer, 60 warning signs for spraying, 2 water tanks for spraying, 2 aprons for mixing for spraying, and chem suit</t>
        </r>
      </text>
    </comment>
    <comment ref="H107" authorId="0" shapeId="0">
      <text>
        <r>
          <rPr>
            <b/>
            <sz val="9"/>
            <color indexed="81"/>
            <rFont val="Tahoma"/>
            <family val="2"/>
          </rPr>
          <t>Includes Imidan and adjuvants as odor mask, foam marker, and de-foamer</t>
        </r>
      </text>
    </comment>
    <comment ref="G108" authorId="0" shapeId="0">
      <text>
        <r>
          <rPr>
            <b/>
            <sz val="9"/>
            <color indexed="81"/>
            <rFont val="Tahoma"/>
            <family val="2"/>
          </rPr>
          <t>Assume hand crew brings their own rakes
Includes medium-sized 5-ton truck to transport berries and trailer
Assume 22-lb boxes owned by freezer and not owned by producer</t>
        </r>
      </text>
    </comment>
    <comment ref="H108" authorId="0" shapeId="0">
      <text>
        <r>
          <rPr>
            <b/>
            <sz val="9"/>
            <color indexed="81"/>
            <rFont val="Tahoma"/>
            <family val="2"/>
          </rPr>
          <t>Assume this is $0 since no other materials used</t>
        </r>
      </text>
    </comment>
    <comment ref="G109" authorId="0" shapeId="0">
      <text>
        <r>
          <rPr>
            <b/>
            <sz val="9"/>
            <color indexed="81"/>
            <rFont val="Tahoma"/>
            <family val="2"/>
          </rPr>
          <t>Include entire depreciation on large-sized tractor so this is not split with other implements using this tractor
Includes mechanized harvester pulled by tractor
Also includes 5-ton truck and trailer</t>
        </r>
      </text>
    </comment>
    <comment ref="H109" authorId="0" shapeId="0">
      <text>
        <r>
          <rPr>
            <b/>
            <sz val="9"/>
            <color indexed="81"/>
            <rFont val="Tahoma"/>
            <family val="2"/>
          </rPr>
          <t>Assume this is $0 since no other materials used</t>
        </r>
      </text>
    </comment>
    <comment ref="G110" authorId="0" shapeId="0">
      <text>
        <r>
          <rPr>
            <b/>
            <sz val="9"/>
            <color indexed="81"/>
            <rFont val="Tahoma"/>
            <family val="2"/>
          </rPr>
          <t>Includes large excavator and leveling bucket
Also includes large brush saw/cutter and large brush hog
Also includes 5-ton truck and trailer for moving equipment between fields</t>
        </r>
      </text>
    </comment>
    <comment ref="H110" authorId="0" shapeId="0">
      <text>
        <r>
          <rPr>
            <b/>
            <sz val="9"/>
            <color indexed="81"/>
            <rFont val="Tahoma"/>
            <family val="2"/>
          </rPr>
          <t>Assume this is $0 since no other materials used</t>
        </r>
      </text>
    </comment>
    <comment ref="G111" authorId="0" shapeId="0">
      <text>
        <r>
          <rPr>
            <b/>
            <sz val="9"/>
            <color indexed="81"/>
            <rFont val="Tahoma"/>
            <family val="2"/>
          </rPr>
          <t>Include entire depreciation on large-sized tractor so this is not split with other implements using this tractor
Also includes large-sized pull-behind boom sprayer, 60 warning signs for spraying, 2 water tanks for spraying, 2 aprons for mixing for spraying, and chem suit</t>
        </r>
      </text>
    </comment>
    <comment ref="H111" authorId="0" shapeId="0">
      <text>
        <r>
          <rPr>
            <b/>
            <sz val="9"/>
            <color indexed="81"/>
            <rFont val="Tahoma"/>
            <family val="2"/>
          </rPr>
          <t xml:space="preserve">Includes Express and adjuvant as non-ionic surfactant
</t>
        </r>
      </text>
    </comment>
    <comment ref="G112" authorId="0" shapeId="0">
      <text>
        <r>
          <rPr>
            <b/>
            <sz val="9"/>
            <color indexed="81"/>
            <rFont val="Tahoma"/>
            <family val="2"/>
          </rPr>
          <t>Include entire depreciation on large-sized tractor so this is not split with other implements using this tractor
Includes oil burner
Also includes pick-up truck, 2 250-gallon water tanks, large-sized water tank pump, 8 Indian backpack water tanks, and 1 trailer for water tank</t>
        </r>
      </text>
    </comment>
    <comment ref="H112" authorId="0" shapeId="0">
      <text>
        <r>
          <rPr>
            <b/>
            <sz val="9"/>
            <color indexed="81"/>
            <rFont val="Tahoma"/>
            <family val="2"/>
          </rPr>
          <t>Oil for burning</t>
        </r>
      </text>
    </comment>
    <comment ref="G113" authorId="0" shapeId="0">
      <text>
        <r>
          <rPr>
            <b/>
            <sz val="9"/>
            <color indexed="81"/>
            <rFont val="Tahoma"/>
            <family val="2"/>
          </rPr>
          <t>Include entire depreciation on large-sized tractor so this is not split with other implements using this tractor
Includes rotary mower, flail mower, flail mower side-attached, and a large side-attached flail mower
Also includes 5-ton truck and trailer for moving equipment between fields</t>
        </r>
      </text>
    </comment>
    <comment ref="H113" authorId="0" shapeId="0">
      <text>
        <r>
          <rPr>
            <b/>
            <sz val="9"/>
            <color indexed="81"/>
            <rFont val="Tahoma"/>
            <family val="2"/>
          </rPr>
          <t>Assume this is $0 since no other materials used</t>
        </r>
      </text>
    </comment>
  </commentList>
</comments>
</file>

<file path=xl/sharedStrings.xml><?xml version="1.0" encoding="utf-8"?>
<sst xmlns="http://schemas.openxmlformats.org/spreadsheetml/2006/main" count="183" uniqueCount="133">
  <si>
    <r>
      <t xml:space="preserve">Material </t>
    </r>
    <r>
      <rPr>
        <b/>
        <i/>
        <sz val="10"/>
        <color indexed="8"/>
        <rFont val="Calibri"/>
        <family val="2"/>
      </rPr>
      <t>Costs</t>
    </r>
    <phoneticPr fontId="2" type="noConversion"/>
  </si>
  <si>
    <r>
      <t xml:space="preserve">Field Operation </t>
    </r>
    <r>
      <rPr>
        <b/>
        <i/>
        <sz val="10"/>
        <color indexed="8"/>
        <rFont val="Calibri"/>
        <family val="2"/>
      </rPr>
      <t>Costs</t>
    </r>
    <r>
      <rPr>
        <b/>
        <i/>
        <sz val="10"/>
        <color theme="1"/>
        <rFont val="Calibri"/>
        <family val="2"/>
        <scheme val="minor"/>
      </rPr>
      <t xml:space="preserve"> (see reverse side for details)</t>
    </r>
    <phoneticPr fontId="2" type="noConversion"/>
  </si>
  <si>
    <r>
      <t xml:space="preserve">Miscellanceous </t>
    </r>
    <r>
      <rPr>
        <b/>
        <i/>
        <sz val="10"/>
        <color indexed="8"/>
        <rFont val="Calibri"/>
        <family val="2"/>
      </rPr>
      <t>Costs</t>
    </r>
    <phoneticPr fontId="2" type="noConversion"/>
  </si>
  <si>
    <t>Total Variable Costs</t>
    <phoneticPr fontId="2" type="noConversion"/>
  </si>
  <si>
    <r>
      <t>Net Farm Income</t>
    </r>
    <r>
      <rPr>
        <b/>
        <sz val="10"/>
        <color indexed="8"/>
        <rFont val="Calibri"/>
        <family val="2"/>
      </rPr>
      <t xml:space="preserve"> </t>
    </r>
    <r>
      <rPr>
        <sz val="10"/>
        <color indexed="8"/>
        <rFont val="Calibri"/>
        <family val="2"/>
      </rPr>
      <t>($/acre)</t>
    </r>
    <phoneticPr fontId="2" type="noConversion"/>
  </si>
  <si>
    <r>
      <t>Return over Variable Cost</t>
    </r>
    <r>
      <rPr>
        <b/>
        <sz val="10"/>
        <color indexed="8"/>
        <rFont val="Calibri"/>
        <family val="2"/>
      </rPr>
      <t xml:space="preserve"> </t>
    </r>
    <r>
      <rPr>
        <sz val="10"/>
        <color indexed="8"/>
        <rFont val="Calibri"/>
        <family val="2"/>
      </rPr>
      <t>($/acre)</t>
    </r>
    <phoneticPr fontId="2" type="noConversion"/>
  </si>
  <si>
    <t>Fertilizer</t>
    <phoneticPr fontId="2" type="noConversion"/>
  </si>
  <si>
    <t>Crop Production</t>
    <phoneticPr fontId="2" type="noConversion"/>
  </si>
  <si>
    <t>Total Cost/acre</t>
    <phoneticPr fontId="2" type="noConversion"/>
  </si>
  <si>
    <t>Variable Costs</t>
  </si>
  <si>
    <t>Revenue/Acre</t>
  </si>
  <si>
    <t>Total Revenue</t>
  </si>
  <si>
    <t>Fixed Costs</t>
  </si>
  <si>
    <t>Total Fixed Costs</t>
  </si>
  <si>
    <t>Maintenance and Repair</t>
  </si>
  <si>
    <t>Please see reverse side for NOTES.</t>
  </si>
  <si>
    <t>Questions or Comments:</t>
    <phoneticPr fontId="2" type="noConversion"/>
  </si>
  <si>
    <t>NOTES regarding the enterprise budget:</t>
  </si>
  <si>
    <t>Subtotal</t>
  </si>
  <si>
    <t>Specific assumptions and estimates used:</t>
    <phoneticPr fontId="2" type="noConversion"/>
  </si>
  <si>
    <t>Variable and fixed costs are included:</t>
    <phoneticPr fontId="2" type="noConversion"/>
  </si>
  <si>
    <t>Annual Revenue</t>
  </si>
  <si>
    <t>Depreciation and Interest</t>
  </si>
  <si>
    <t>Tax and Insurance</t>
  </si>
  <si>
    <t>Total Annual Cost</t>
  </si>
  <si>
    <t>Long-run to Cover All Costs</t>
  </si>
  <si>
    <t>Short-run to Cover Operating Costs</t>
  </si>
  <si>
    <t>Total Field Operation Expenses</t>
    <phoneticPr fontId="2" type="noConversion"/>
  </si>
  <si>
    <t>Price/unit</t>
  </si>
  <si>
    <t>=</t>
  </si>
  <si>
    <t>Cost/Acre</t>
  </si>
  <si>
    <t>Wild Blueberry Yield (pounds)</t>
  </si>
  <si>
    <t>Other (                     )</t>
  </si>
  <si>
    <t>-</t>
  </si>
  <si>
    <t>×</t>
  </si>
  <si>
    <t>Revenue/Pound</t>
  </si>
  <si>
    <t>Cost/Pound</t>
  </si>
  <si>
    <t>Please Contact Aaron Hoshide by phone (207) 659-4808 or email: aaron.hoshide@maine.edu</t>
  </si>
  <si>
    <t>Crop Protection</t>
  </si>
  <si>
    <t>Fungicides</t>
  </si>
  <si>
    <t>Herbicides (Pre-Merge)</t>
  </si>
  <si>
    <t>Herbicides (Post-Merge)</t>
  </si>
  <si>
    <t>Herbicides (Wiping)</t>
  </si>
  <si>
    <t>Insecticides</t>
  </si>
  <si>
    <t>Write your own figures or notes here</t>
  </si>
  <si>
    <t>Pollination ($/hive)</t>
  </si>
  <si>
    <t>Insect Traps ($/trap)</t>
  </si>
  <si>
    <t>Sulfur ($/ton) every 7.5 years</t>
  </si>
  <si>
    <t>Burning for Pruning</t>
  </si>
  <si>
    <t>Straw</t>
  </si>
  <si>
    <t>Fuel Oil ($/gallon)</t>
  </si>
  <si>
    <t>Total or Unit/Acre</t>
  </si>
  <si>
    <t>Heating ($/gallon)</t>
  </si>
  <si>
    <t>Advertising and Marketing</t>
  </si>
  <si>
    <t>Certification</t>
  </si>
  <si>
    <t>Conferences</t>
  </si>
  <si>
    <t>Dues and Fees</t>
  </si>
  <si>
    <t>Fire Permit</t>
  </si>
  <si>
    <t>Legal and Accounting</t>
  </si>
  <si>
    <t>Licenses</t>
  </si>
  <si>
    <t>Phone Bill</t>
  </si>
  <si>
    <t>Registration (Vehicles)</t>
  </si>
  <si>
    <t>Supplies</t>
  </si>
  <si>
    <t>Travel</t>
  </si>
  <si>
    <t>Trash Removal</t>
  </si>
  <si>
    <t>Utilities</t>
  </si>
  <si>
    <t>Price/Pound</t>
  </si>
  <si>
    <r>
      <t>Farm Performance Measures (</t>
    </r>
    <r>
      <rPr>
        <i/>
        <sz val="10"/>
        <color theme="1"/>
        <rFont val="Calibri"/>
        <family val="2"/>
        <scheme val="minor"/>
      </rPr>
      <t>Breakeven Revenue)</t>
    </r>
    <r>
      <rPr>
        <b/>
        <sz val="10"/>
        <color theme="1"/>
        <rFont val="Calibri"/>
        <family val="2"/>
        <scheme val="minor"/>
      </rPr>
      <t xml:space="preserve"> </t>
    </r>
  </si>
  <si>
    <r>
      <t>Wild blueberry yields</t>
    </r>
    <r>
      <rPr>
        <sz val="11"/>
        <rFont val="Calibri"/>
        <family val="2"/>
        <scheme val="minor"/>
      </rPr>
      <t xml:space="preserve"> - Based on historical</t>
    </r>
    <r>
      <rPr>
        <sz val="11"/>
        <rFont val="Calibri"/>
        <family val="2"/>
      </rPr>
      <t xml:space="preserve"> yields as well as yields surveyed from cooperating producers</t>
    </r>
    <r>
      <rPr>
        <sz val="11"/>
        <rFont val="Calibri"/>
        <family val="2"/>
        <scheme val="minor"/>
      </rPr>
      <t>.</t>
    </r>
  </si>
  <si>
    <t xml:space="preserve">Sulfur - Assumes that sulfur is applied 1 in 7.5 years at rate of 0.193 ton per acre which equals 386 pounds per acre. </t>
  </si>
  <si>
    <t>Leased land - Assumes that 0% of crop area is leased and 100% owned.</t>
  </si>
  <si>
    <r>
      <t xml:space="preserve">Diesel Fuel </t>
    </r>
    <r>
      <rPr>
        <sz val="10"/>
        <color indexed="8"/>
        <rFont val="Calibri"/>
        <family val="2"/>
      </rPr>
      <t>($/gal)</t>
    </r>
  </si>
  <si>
    <t>Oil</t>
  </si>
  <si>
    <t xml:space="preserve">The purpose of this enterprise budget is to provide an economic framework for evaluating wild blueberry production. Variable costs include material expenses, miscellaneous expenses, and field operation expenses. Fixed costs refer to capital depreciation, land, taxes and insurance.  </t>
  </si>
  <si>
    <r>
      <t>Fixed costs are aggregated from a more detailed itemized budget for this model. Caution, the cost of equipment can vary dramatically and for this budget. I</t>
    </r>
    <r>
      <rPr>
        <sz val="11"/>
        <color indexed="8"/>
        <rFont val="Calibri"/>
        <family val="2"/>
        <scheme val="minor"/>
      </rPr>
      <t>t is assumed that all equipment is purchased new and replaced at the end of its time allotted depreciation cycle.  For example, owning and operating a used piece of equipment beyond it's normal depreciation cycle can reduce the depr</t>
    </r>
    <r>
      <rPr>
        <sz val="11"/>
        <color indexed="8"/>
        <rFont val="Calibri"/>
        <family val="2"/>
      </rPr>
      <t>e</t>
    </r>
    <r>
      <rPr>
        <sz val="11"/>
        <color indexed="8"/>
        <rFont val="Calibri"/>
        <family val="2"/>
        <scheme val="minor"/>
      </rPr>
      <t>c</t>
    </r>
    <r>
      <rPr>
        <sz val="11"/>
        <color indexed="8"/>
        <rFont val="Calibri"/>
        <family val="2"/>
      </rPr>
      <t>iation</t>
    </r>
    <r>
      <rPr>
        <sz val="11"/>
        <color indexed="8"/>
        <rFont val="Calibri"/>
        <family val="2"/>
        <scheme val="minor"/>
      </rPr>
      <t xml:space="preserve"> and interest costs for that piece of equipment. However, repair costs will go up as equipment ages.</t>
    </r>
  </si>
  <si>
    <r>
      <t>Crop and input prices</t>
    </r>
    <r>
      <rPr>
        <sz val="11"/>
        <rFont val="Calibri"/>
        <family val="2"/>
        <scheme val="minor"/>
      </rPr>
      <t xml:space="preserve"> - </t>
    </r>
    <r>
      <rPr>
        <sz val="11"/>
        <rFont val="Calibri"/>
        <family val="2"/>
      </rPr>
      <t>Based on cooperating producer surveys most recently updated from 2023 phone surveys.</t>
    </r>
  </si>
  <si>
    <t>The table below outlines assumed field operations including equipment transport to fields.</t>
  </si>
  <si>
    <t>Annual Cost or Cost/Unit</t>
  </si>
  <si>
    <t>Fruiting Acres =</t>
  </si>
  <si>
    <t>Prune Year</t>
  </si>
  <si>
    <t>Fruiting Year</t>
  </si>
  <si>
    <t xml:space="preserve">   Pruning (Burn)</t>
  </si>
  <si>
    <t xml:space="preserve">   Pruning (Mow)</t>
  </si>
  <si>
    <t xml:space="preserve">   Land Level</t>
  </si>
  <si>
    <t xml:space="preserve">   Spread Fertilizer</t>
  </si>
  <si>
    <t xml:space="preserve">   Spread Sulfur</t>
  </si>
  <si>
    <t xml:space="preserve">   Determine Maggot Fly Threshold</t>
  </si>
  <si>
    <t xml:space="preserve">   Spray (Insecticide)</t>
  </si>
  <si>
    <t xml:space="preserve">   Spray (Herbicide)</t>
  </si>
  <si>
    <t>TOTAL REVENUE</t>
  </si>
  <si>
    <t>TOTAL COSTS</t>
  </si>
  <si>
    <t>Cost/acre for Maintenance/Repair*</t>
  </si>
  <si>
    <t>Cost/acre for Depreciation†</t>
  </si>
  <si>
    <t xml:space="preserve">   Manage Harvest &amp; Transport (Hand Rake)</t>
  </si>
  <si>
    <t xml:space="preserve">   Harvest &amp; Transport (Mechanized)</t>
  </si>
  <si>
    <r>
      <t>Total Maintenance/Repair</t>
    </r>
    <r>
      <rPr>
        <sz val="11"/>
        <color theme="1"/>
        <rFont val="Calibri"/>
        <family val="2"/>
        <scheme val="minor"/>
      </rPr>
      <t>:</t>
    </r>
  </si>
  <si>
    <t>* Total maintenance costs from model allocated in proportion to depreciation for specific operation. † Just for crop production not other capital (land, buildings, etc.).</t>
  </si>
  <si>
    <t xml:space="preserve"> Yield (units/acre)</t>
  </si>
  <si>
    <t>Cost/acre for Materials</t>
  </si>
  <si>
    <t>Cost/                  Fruiting Acre</t>
  </si>
  <si>
    <t>Revenue/                    Fruiting Acre</t>
  </si>
  <si>
    <t>Revenue/Fruiting Acre</t>
  </si>
  <si>
    <t xml:space="preserve">   Spray (Pre-Merge Herbicides)</t>
  </si>
  <si>
    <t xml:space="preserve">   Weed Wipe &amp; Perennial Weed Removal</t>
  </si>
  <si>
    <t xml:space="preserve">   Spray (Post-Merge Herbicides / Fungicide)</t>
  </si>
  <si>
    <t>Prepared by Aaron Hoshide, University of Maine School of Economics;
Lily Calderwood, University of Maine Cooperative Extension; Eric Venturini, Maine Wild Blueberry Commission;                                                                                                                                                                                                        Dave Yarborough, University of Maine, Emeritus Wild Blueberry Specialist &amp; Professor of Horticulture</t>
  </si>
  <si>
    <r>
      <t>PROFIT/</t>
    </r>
    <r>
      <rPr>
        <b/>
        <sz val="11"/>
        <color rgb="FFFF0000"/>
        <rFont val="Calibri"/>
        <family val="2"/>
        <scheme val="minor"/>
      </rPr>
      <t>LOSS</t>
    </r>
  </si>
  <si>
    <r>
      <t xml:space="preserve">Profit or </t>
    </r>
    <r>
      <rPr>
        <b/>
        <sz val="11"/>
        <color rgb="FFFF0000"/>
        <rFont val="Calibri"/>
        <family val="2"/>
        <scheme val="minor"/>
      </rPr>
      <t>Loss</t>
    </r>
    <r>
      <rPr>
        <b/>
        <sz val="11"/>
        <color theme="1"/>
        <rFont val="Calibri"/>
        <family val="2"/>
        <scheme val="minor"/>
      </rPr>
      <t xml:space="preserve">             /Fruiting Acre</t>
    </r>
  </si>
  <si>
    <r>
      <t>Profit or</t>
    </r>
    <r>
      <rPr>
        <b/>
        <sz val="11"/>
        <color rgb="FFFF0000"/>
        <rFont val="Calibri"/>
        <family val="2"/>
        <scheme val="minor"/>
      </rPr>
      <t xml:space="preserve"> Loss</t>
    </r>
    <r>
      <rPr>
        <b/>
        <sz val="11"/>
        <color theme="1"/>
        <rFont val="Calibri"/>
        <family val="2"/>
        <scheme val="minor"/>
      </rPr>
      <t xml:space="preserve">                /Pound</t>
    </r>
  </si>
  <si>
    <t>Tax for Wild Blueberries ($/lb - producer)</t>
  </si>
  <si>
    <t>Tax for Wild Blueberries ($/lb - processor)</t>
  </si>
  <si>
    <t xml:space="preserve">   Other(s) (                     )</t>
  </si>
  <si>
    <t>for crop equipment</t>
  </si>
  <si>
    <t>This budget calculates the revenues, variable and fixed costs and returns for a hypothetical Maine wild blueberry enterprise.  However, costs, yields, and returns will vary greatly across producers and locations.  Therefore, please use the budget as a template into which you can write figures specific to your own operation.  The budget assumes 500 acres of land in fruit in any given year. Total wild blueberry land includes 500 acres of land in prune in any given year for a total of 1,000 acres. Please update with your farm's figures if desired in yellow highlighted cells.</t>
  </si>
  <si>
    <t>Packaging</t>
  </si>
  <si>
    <t>Hand Raking Labor ($/22-lb box)</t>
  </si>
  <si>
    <t>Other Labor ($/hour)</t>
  </si>
  <si>
    <t>Testing (Soil &amp; Tissue )</t>
  </si>
  <si>
    <t>Interest on Operating Loan</t>
  </si>
  <si>
    <t>Replacement Teeth for Flail Mower</t>
  </si>
  <si>
    <t>Labor</t>
  </si>
  <si>
    <t>Hand Rake Labor ($/hour)</t>
  </si>
  <si>
    <t>Walk-behind Mechanized Raking Labor ($/hour)</t>
  </si>
  <si>
    <t>Mechanized Raking Labor ($/hour)</t>
  </si>
  <si>
    <r>
      <t>Total Oil for Equipment</t>
    </r>
    <r>
      <rPr>
        <sz val="11"/>
        <color theme="1"/>
        <rFont val="Calibri"/>
        <family val="2"/>
        <scheme val="minor"/>
      </rPr>
      <t>:</t>
    </r>
  </si>
  <si>
    <r>
      <t>Labor Hours (</t>
    </r>
    <r>
      <rPr>
        <i/>
        <sz val="10"/>
        <color theme="1"/>
        <rFont val="Calibri"/>
        <family val="2"/>
        <scheme val="minor"/>
      </rPr>
      <t>Owner(s) &amp; Workers)</t>
    </r>
    <r>
      <rPr>
        <b/>
        <sz val="10"/>
        <color theme="1"/>
        <rFont val="Calibri"/>
        <family val="2"/>
        <scheme val="minor"/>
      </rPr>
      <t xml:space="preserve"> </t>
    </r>
  </si>
  <si>
    <t>Owner(s) Hours</t>
  </si>
  <si>
    <t>Paid Workers Hours</t>
  </si>
  <si>
    <t>Total Annual Hours</t>
  </si>
  <si>
    <r>
      <t>Profit or</t>
    </r>
    <r>
      <rPr>
        <b/>
        <sz val="11"/>
        <color rgb="FFFF0000"/>
        <rFont val="Calibri"/>
        <family val="2"/>
        <scheme val="minor"/>
      </rPr>
      <t xml:space="preserve"> Loss</t>
    </r>
    <r>
      <rPr>
        <b/>
        <sz val="11"/>
        <color theme="1"/>
        <rFont val="Calibri"/>
        <family val="2"/>
        <scheme val="minor"/>
      </rPr>
      <t xml:space="preserve">                /Hour</t>
    </r>
  </si>
  <si>
    <t xml:space="preserve">   Coordinate Pollination &amp; Rent Hives</t>
  </si>
  <si>
    <r>
      <t>Fungicide Application(s)</t>
    </r>
    <r>
      <rPr>
        <sz val="11"/>
        <color theme="1"/>
        <rFont val="Calibri"/>
        <family val="2"/>
        <scheme val="minor"/>
      </rPr>
      <t>:</t>
    </r>
  </si>
  <si>
    <t>spray(s)/year on fruiting acres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</si>
</sst>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_);[Red]\(&quot;$&quot;#,##0\)"/>
    <numFmt numFmtId="8" formatCode="&quot;$&quot;#,##0.00_);[Red]\(&quot;$&quot;#,##0.00\)"/>
    <numFmt numFmtId="164" formatCode="#,##0.000"/>
    <numFmt numFmtId="165" formatCode="&quot;$&quot;#,##0.000_);[Red]\(&quot;$&quot;#,##0.000\)"/>
    <numFmt numFmtId="166" formatCode="&quot;$&quot;#,##0.0000_);[Red]\(&quot;$&quot;#,##0.0000\)"/>
    <numFmt numFmtId="167" formatCode="&quot;$&quot;#,##0.00000_);[Red]\(&quot;$&quot;#,##0.00000\)"/>
    <numFmt numFmtId="168" formatCode="#,##0.0000"/>
    <numFmt numFmtId="169" formatCode="#,##0.00000"/>
    <numFmt numFmtId="170" formatCode="#,##0.0"/>
  </numFmts>
  <fonts count="29" x14ac:knownFonts="1">
    <font>
      <sz val="11"/>
      <color theme="1"/>
      <name val="Calibri"/>
      <family val="2"/>
      <scheme val="minor"/>
    </font>
    <font>
      <sz val="11"/>
      <color indexed="8"/>
      <name val="Calibri"/>
      <family val="2"/>
    </font>
    <font>
      <sz val="8"/>
      <name val="Calibri"/>
      <family val="2"/>
    </font>
    <font>
      <b/>
      <sz val="11"/>
      <color indexed="8"/>
      <name val="Calibri"/>
      <family val="2"/>
    </font>
    <font>
      <b/>
      <sz val="16"/>
      <color indexed="8"/>
      <name val="Calibri"/>
      <family val="2"/>
    </font>
    <font>
      <sz val="16"/>
      <color indexed="8"/>
      <name val="Calibri"/>
      <family val="2"/>
    </font>
    <font>
      <i/>
      <sz val="11"/>
      <color theme="1"/>
      <name val="Calibri"/>
      <family val="2"/>
      <scheme val="minor"/>
    </font>
    <font>
      <sz val="10"/>
      <color theme="1"/>
      <name val="Calibri"/>
      <family val="2"/>
      <scheme val="minor"/>
    </font>
    <font>
      <sz val="10"/>
      <color indexed="8"/>
      <name val="Calibri"/>
      <family val="2"/>
      <scheme val="minor"/>
    </font>
    <font>
      <b/>
      <sz val="10"/>
      <color theme="1"/>
      <name val="Calibri"/>
      <family val="2"/>
      <scheme val="minor"/>
    </font>
    <font>
      <i/>
      <sz val="10"/>
      <color theme="1"/>
      <name val="Calibri"/>
      <family val="2"/>
      <scheme val="minor"/>
    </font>
    <font>
      <sz val="14"/>
      <color indexed="8"/>
      <name val="Calibri"/>
      <family val="2"/>
      <scheme val="minor"/>
    </font>
    <font>
      <b/>
      <sz val="11"/>
      <color indexed="8"/>
      <name val="Calibri"/>
      <family val="2"/>
      <scheme val="minor"/>
    </font>
    <font>
      <sz val="11"/>
      <name val="Calibri"/>
      <family val="2"/>
      <scheme val="minor"/>
    </font>
    <font>
      <sz val="11"/>
      <color indexed="8"/>
      <name val="Calibri"/>
      <family val="2"/>
      <scheme val="minor"/>
    </font>
    <font>
      <b/>
      <i/>
      <sz val="10"/>
      <color theme="1"/>
      <name val="Calibri"/>
      <family val="2"/>
      <scheme val="minor"/>
    </font>
    <font>
      <i/>
      <sz val="10"/>
      <color theme="1"/>
      <name val="Calibri"/>
      <family val="2"/>
      <scheme val="minor"/>
    </font>
    <font>
      <b/>
      <i/>
      <sz val="10"/>
      <color theme="1"/>
      <name val="Calibri"/>
      <family val="2"/>
      <scheme val="minor"/>
    </font>
    <font>
      <b/>
      <sz val="10"/>
      <color indexed="8"/>
      <name val="Calibri"/>
      <family val="2"/>
    </font>
    <font>
      <sz val="10"/>
      <color indexed="8"/>
      <name val="Calibri"/>
      <family val="2"/>
    </font>
    <font>
      <sz val="11"/>
      <name val="Calibri"/>
      <family val="2"/>
    </font>
    <font>
      <b/>
      <i/>
      <sz val="10"/>
      <color indexed="8"/>
      <name val="Calibri"/>
      <family val="2"/>
    </font>
    <font>
      <sz val="10"/>
      <name val="Arial"/>
      <family val="2"/>
    </font>
    <font>
      <b/>
      <sz val="11"/>
      <color theme="1"/>
      <name val="Calibri"/>
      <family val="2"/>
      <scheme val="minor"/>
    </font>
    <font>
      <u/>
      <sz val="10"/>
      <color indexed="8"/>
      <name val="Calibri"/>
      <family val="2"/>
      <scheme val="minor"/>
    </font>
    <font>
      <u/>
      <sz val="11"/>
      <color theme="1"/>
      <name val="Calibri"/>
      <family val="2"/>
      <scheme val="minor"/>
    </font>
    <font>
      <b/>
      <sz val="9"/>
      <color indexed="81"/>
      <name val="Tahoma"/>
      <family val="2"/>
    </font>
    <font>
      <b/>
      <sz val="11"/>
      <color rgb="FFFF0000"/>
      <name val="Calibri"/>
      <family val="2"/>
      <scheme val="minor"/>
    </font>
    <font>
      <u/>
      <sz val="10"/>
      <color theme="1"/>
      <name val="Calibri"/>
      <family val="2"/>
      <scheme val="minor"/>
    </font>
  </fonts>
  <fills count="3">
    <fill>
      <patternFill patternType="none"/>
    </fill>
    <fill>
      <patternFill patternType="gray125"/>
    </fill>
    <fill>
      <patternFill patternType="solid">
        <fgColor rgb="FFFFFFCC"/>
        <bgColor indexed="64"/>
      </patternFill>
    </fill>
  </fills>
  <borders count="14">
    <border>
      <left/>
      <right/>
      <top/>
      <bottom/>
      <diagonal/>
    </border>
    <border>
      <left/>
      <right/>
      <top style="thin">
        <color auto="1"/>
      </top>
      <bottom style="thin">
        <color auto="1"/>
      </bottom>
      <diagonal/>
    </border>
    <border>
      <left/>
      <right/>
      <top/>
      <bottom style="hair">
        <color auto="1"/>
      </bottom>
      <diagonal/>
    </border>
    <border>
      <left/>
      <right/>
      <top/>
      <bottom style="thin">
        <color auto="1"/>
      </bottom>
      <diagonal/>
    </border>
    <border>
      <left/>
      <right/>
      <top style="hair">
        <color auto="1"/>
      </top>
      <bottom style="hair">
        <color auto="1"/>
      </bottom>
      <diagonal/>
    </border>
    <border>
      <left/>
      <right/>
      <top style="medium">
        <color auto="1"/>
      </top>
      <bottom style="medium">
        <color auto="1"/>
      </bottom>
      <diagonal/>
    </border>
    <border>
      <left/>
      <right/>
      <top style="hair">
        <color auto="1"/>
      </top>
      <bottom/>
      <diagonal/>
    </border>
    <border>
      <left/>
      <right/>
      <top/>
      <bottom style="double">
        <color auto="1"/>
      </bottom>
      <diagonal/>
    </border>
    <border>
      <left/>
      <right/>
      <top style="double">
        <color auto="1"/>
      </top>
      <bottom style="thin">
        <color auto="1"/>
      </bottom>
      <diagonal/>
    </border>
    <border>
      <left/>
      <right/>
      <top/>
      <bottom style="medium">
        <color auto="1"/>
      </bottom>
      <diagonal/>
    </border>
    <border>
      <left/>
      <right/>
      <top style="medium">
        <color auto="1"/>
      </top>
      <bottom style="double">
        <color indexed="64"/>
      </bottom>
      <diagonal/>
    </border>
    <border>
      <left/>
      <right/>
      <top style="thin">
        <color auto="1"/>
      </top>
      <bottom style="medium">
        <color indexed="64"/>
      </bottom>
      <diagonal/>
    </border>
    <border>
      <left/>
      <right/>
      <top style="hair">
        <color indexed="64"/>
      </top>
      <bottom style="thin">
        <color indexed="64"/>
      </bottom>
      <diagonal/>
    </border>
    <border>
      <left/>
      <right/>
      <top style="medium">
        <color auto="1"/>
      </top>
      <bottom/>
      <diagonal/>
    </border>
  </borders>
  <cellStyleXfs count="2">
    <xf numFmtId="0" fontId="0" fillId="0" borderId="0"/>
    <xf numFmtId="0" fontId="22" fillId="0" borderId="0"/>
  </cellStyleXfs>
  <cellXfs count="178">
    <xf numFmtId="0" fontId="0" fillId="0" borderId="0" xfId="0"/>
    <xf numFmtId="0" fontId="3" fillId="0" borderId="0" xfId="0" applyFont="1"/>
    <xf numFmtId="2" fontId="0" fillId="0" borderId="0" xfId="0" applyNumberFormat="1"/>
    <xf numFmtId="0" fontId="5" fillId="0" borderId="0" xfId="0" applyFont="1"/>
    <xf numFmtId="0" fontId="0" fillId="0" borderId="0" xfId="0"/>
    <xf numFmtId="0" fontId="7" fillId="0" borderId="0" xfId="0" applyFont="1" applyAlignment="1">
      <alignment vertical="center"/>
    </xf>
    <xf numFmtId="0" fontId="0" fillId="0" borderId="0" xfId="0" applyFont="1"/>
    <xf numFmtId="0" fontId="9" fillId="0" borderId="0" xfId="0" applyFont="1" applyAlignment="1">
      <alignment vertical="center"/>
    </xf>
    <xf numFmtId="0" fontId="8" fillId="0" borderId="0" xfId="0" applyFont="1" applyBorder="1"/>
    <xf numFmtId="0" fontId="7" fillId="0" borderId="0" xfId="0" applyFont="1" applyAlignment="1">
      <alignment horizontal="left" vertical="center" indent="1"/>
    </xf>
    <xf numFmtId="0" fontId="8" fillId="0" borderId="6" xfId="0" applyFont="1" applyBorder="1"/>
    <xf numFmtId="2" fontId="0" fillId="0" borderId="0" xfId="0" applyNumberFormat="1" applyFont="1"/>
    <xf numFmtId="2" fontId="0" fillId="0" borderId="0" xfId="0" applyNumberFormat="1" applyFont="1" applyAlignment="1"/>
    <xf numFmtId="0" fontId="11" fillId="0" borderId="0" xfId="0" applyFont="1"/>
    <xf numFmtId="0" fontId="12" fillId="0" borderId="0" xfId="0" applyFont="1"/>
    <xf numFmtId="0" fontId="8" fillId="0" borderId="0" xfId="0" applyFont="1"/>
    <xf numFmtId="0" fontId="12" fillId="0" borderId="0" xfId="0" applyFont="1" applyAlignment="1">
      <alignment horizontal="left" vertical="top"/>
    </xf>
    <xf numFmtId="0" fontId="0" fillId="0" borderId="0" xfId="0" applyFont="1" applyAlignment="1">
      <alignment horizontal="left" vertical="top"/>
    </xf>
    <xf numFmtId="8" fontId="7" fillId="0" borderId="0" xfId="0" applyNumberFormat="1" applyFont="1" applyAlignment="1">
      <alignment vertical="center"/>
    </xf>
    <xf numFmtId="0" fontId="9" fillId="0" borderId="5" xfId="0" applyFont="1" applyBorder="1" applyAlignment="1">
      <alignment vertical="center"/>
    </xf>
    <xf numFmtId="0" fontId="9" fillId="0" borderId="5" xfId="0" applyFont="1" applyBorder="1" applyAlignment="1">
      <alignment horizontal="left" vertical="center"/>
    </xf>
    <xf numFmtId="0" fontId="15" fillId="0" borderId="0" xfId="0" applyFont="1" applyBorder="1" applyAlignment="1">
      <alignment horizontal="left" vertical="center"/>
    </xf>
    <xf numFmtId="0" fontId="15" fillId="0" borderId="0" xfId="0" applyFont="1" applyAlignment="1">
      <alignment vertical="center"/>
    </xf>
    <xf numFmtId="0" fontId="9" fillId="0" borderId="9" xfId="0" applyFont="1" applyBorder="1" applyAlignment="1">
      <alignment vertical="center"/>
    </xf>
    <xf numFmtId="0" fontId="0" fillId="0" borderId="7" xfId="0" applyFont="1" applyBorder="1"/>
    <xf numFmtId="0" fontId="8" fillId="0" borderId="9" xfId="0" applyFont="1" applyBorder="1"/>
    <xf numFmtId="0" fontId="0" fillId="0" borderId="10" xfId="0" applyFont="1" applyBorder="1"/>
    <xf numFmtId="0" fontId="16" fillId="0" borderId="0" xfId="0" applyFont="1" applyAlignment="1">
      <alignment vertical="center"/>
    </xf>
    <xf numFmtId="0" fontId="17" fillId="0" borderId="0" xfId="0" applyFont="1" applyAlignment="1">
      <alignment vertical="center"/>
    </xf>
    <xf numFmtId="0" fontId="7" fillId="0" borderId="9" xfId="0" applyFont="1" applyBorder="1" applyAlignment="1">
      <alignment vertical="center"/>
    </xf>
    <xf numFmtId="0" fontId="8" fillId="0" borderId="9" xfId="0" applyFont="1" applyBorder="1" applyAlignment="1">
      <alignment horizontal="center" wrapText="1"/>
    </xf>
    <xf numFmtId="2" fontId="0" fillId="0" borderId="0" xfId="0" applyNumberFormat="1" applyFont="1" applyAlignment="1">
      <alignment horizontal="right"/>
    </xf>
    <xf numFmtId="0" fontId="18" fillId="0" borderId="1" xfId="0" applyFont="1" applyBorder="1" applyAlignment="1">
      <alignment wrapText="1"/>
    </xf>
    <xf numFmtId="0" fontId="12" fillId="0" borderId="0" xfId="0" applyFont="1" applyAlignment="1"/>
    <xf numFmtId="0" fontId="19" fillId="0" borderId="3" xfId="0" applyFont="1" applyBorder="1"/>
    <xf numFmtId="0" fontId="0" fillId="0" borderId="3" xfId="0" applyFont="1" applyBorder="1"/>
    <xf numFmtId="0" fontId="8" fillId="0" borderId="1" xfId="0" applyFont="1" applyBorder="1" applyAlignment="1">
      <alignment horizontal="center" wrapText="1"/>
    </xf>
    <xf numFmtId="0" fontId="0" fillId="0" borderId="0" xfId="0" applyFont="1" applyBorder="1"/>
    <xf numFmtId="0" fontId="19" fillId="0" borderId="0" xfId="0" applyFont="1" applyAlignment="1">
      <alignment horizontal="left" vertical="center" indent="1"/>
    </xf>
    <xf numFmtId="0" fontId="7" fillId="0" borderId="0" xfId="0" applyFont="1" applyAlignment="1">
      <alignment horizontal="left" vertical="center" indent="2"/>
    </xf>
    <xf numFmtId="0" fontId="9" fillId="0" borderId="9" xfId="0" applyFont="1" applyBorder="1" applyAlignment="1">
      <alignment horizontal="left" vertical="center"/>
    </xf>
    <xf numFmtId="0" fontId="9" fillId="0" borderId="0" xfId="0" applyFont="1" applyBorder="1" applyAlignment="1">
      <alignment vertical="center"/>
    </xf>
    <xf numFmtId="0" fontId="9" fillId="0" borderId="0" xfId="0" applyFont="1" applyFill="1" applyBorder="1" applyAlignment="1">
      <alignment vertical="center"/>
    </xf>
    <xf numFmtId="0" fontId="0" fillId="0" borderId="0" xfId="0" applyFont="1" applyAlignment="1">
      <alignment horizontal="right"/>
    </xf>
    <xf numFmtId="0" fontId="8" fillId="0" borderId="3" xfId="0" applyFont="1" applyBorder="1"/>
    <xf numFmtId="0" fontId="0" fillId="0" borderId="0" xfId="0" applyAlignment="1">
      <alignment vertical="top"/>
    </xf>
    <xf numFmtId="0" fontId="7" fillId="0" borderId="9" xfId="0" applyFont="1" applyBorder="1" applyAlignment="1">
      <alignment horizontal="right" vertical="center" wrapText="1"/>
    </xf>
    <xf numFmtId="6" fontId="9" fillId="0" borderId="0" xfId="0" applyNumberFormat="1" applyFont="1" applyAlignment="1">
      <alignment horizontal="right" vertical="center"/>
    </xf>
    <xf numFmtId="8" fontId="9" fillId="0" borderId="0" xfId="0" applyNumberFormat="1" applyFont="1" applyAlignment="1">
      <alignment horizontal="right" vertical="center"/>
    </xf>
    <xf numFmtId="0" fontId="7" fillId="0" borderId="5" xfId="0" applyFont="1" applyBorder="1" applyAlignment="1">
      <alignment horizontal="right"/>
    </xf>
    <xf numFmtId="0" fontId="7" fillId="0" borderId="5" xfId="0" applyFont="1" applyBorder="1" applyAlignment="1">
      <alignment horizontal="right" vertical="center" wrapText="1"/>
    </xf>
    <xf numFmtId="0" fontId="7" fillId="0" borderId="0" xfId="0" applyFont="1" applyBorder="1" applyAlignment="1">
      <alignment horizontal="right"/>
    </xf>
    <xf numFmtId="0" fontId="7" fillId="0" borderId="0" xfId="0" applyNumberFormat="1" applyFont="1" applyAlignment="1">
      <alignment horizontal="right" vertical="center"/>
    </xf>
    <xf numFmtId="6" fontId="7" fillId="0" borderId="0" xfId="0" applyNumberFormat="1" applyFont="1" applyAlignment="1">
      <alignment horizontal="right" vertical="center"/>
    </xf>
    <xf numFmtId="6" fontId="9" fillId="0" borderId="9" xfId="0" applyNumberFormat="1" applyFont="1" applyBorder="1" applyAlignment="1">
      <alignment horizontal="right" vertical="center"/>
    </xf>
    <xf numFmtId="0" fontId="0" fillId="0" borderId="9" xfId="0" applyFont="1" applyBorder="1" applyAlignment="1">
      <alignment horizontal="right"/>
    </xf>
    <xf numFmtId="8" fontId="9" fillId="0" borderId="9" xfId="0" applyNumberFormat="1" applyFont="1" applyBorder="1" applyAlignment="1">
      <alignment horizontal="right" vertical="center"/>
    </xf>
    <xf numFmtId="6" fontId="9" fillId="0" borderId="5" xfId="0" applyNumberFormat="1" applyFont="1" applyBorder="1" applyAlignment="1">
      <alignment horizontal="right" vertical="center"/>
    </xf>
    <xf numFmtId="0" fontId="0" fillId="0" borderId="5" xfId="0" applyFont="1" applyBorder="1" applyAlignment="1">
      <alignment horizontal="right"/>
    </xf>
    <xf numFmtId="8" fontId="9" fillId="0" borderId="5" xfId="0" applyNumberFormat="1" applyFont="1" applyBorder="1" applyAlignment="1">
      <alignment horizontal="right" vertical="center"/>
    </xf>
    <xf numFmtId="6" fontId="9" fillId="0" borderId="0" xfId="0" applyNumberFormat="1" applyFont="1" applyBorder="1" applyAlignment="1">
      <alignment horizontal="right" vertical="center"/>
    </xf>
    <xf numFmtId="0" fontId="0" fillId="0" borderId="0" xfId="0" applyFont="1" applyBorder="1" applyAlignment="1">
      <alignment horizontal="right"/>
    </xf>
    <xf numFmtId="8" fontId="9" fillId="0" borderId="0" xfId="0" applyNumberFormat="1" applyFont="1" applyBorder="1" applyAlignment="1">
      <alignment horizontal="right" vertical="center"/>
    </xf>
    <xf numFmtId="0" fontId="0" fillId="0" borderId="7" xfId="0" applyFont="1" applyBorder="1" applyAlignment="1">
      <alignment horizontal="right"/>
    </xf>
    <xf numFmtId="0" fontId="0" fillId="0" borderId="0" xfId="0" applyAlignment="1">
      <alignment horizontal="right"/>
    </xf>
    <xf numFmtId="0" fontId="19" fillId="0" borderId="1" xfId="0" applyFont="1" applyBorder="1" applyAlignment="1">
      <alignment horizontal="right" vertical="center" wrapText="1"/>
    </xf>
    <xf numFmtId="8" fontId="7" fillId="0" borderId="3" xfId="0" applyNumberFormat="1" applyFont="1" applyBorder="1" applyAlignment="1">
      <alignment horizontal="right" vertical="center"/>
    </xf>
    <xf numFmtId="8" fontId="9" fillId="0" borderId="3" xfId="0" applyNumberFormat="1" applyFont="1" applyBorder="1" applyAlignment="1">
      <alignment horizontal="right" vertical="center"/>
    </xf>
    <xf numFmtId="8" fontId="7" fillId="0" borderId="0" xfId="0" applyNumberFormat="1" applyFont="1" applyAlignment="1">
      <alignment horizontal="right" vertical="center"/>
    </xf>
    <xf numFmtId="0" fontId="19" fillId="0" borderId="0" xfId="0" applyFont="1" applyFill="1" applyBorder="1"/>
    <xf numFmtId="0" fontId="0" fillId="0" borderId="0" xfId="0" applyAlignment="1">
      <alignment wrapText="1"/>
    </xf>
    <xf numFmtId="0" fontId="13" fillId="0" borderId="0" xfId="0" applyFont="1" applyFill="1" applyAlignment="1">
      <alignment vertical="top" wrapText="1"/>
    </xf>
    <xf numFmtId="0" fontId="0" fillId="0" borderId="0" xfId="0" applyFont="1" applyAlignment="1">
      <alignment vertical="top" wrapText="1"/>
    </xf>
    <xf numFmtId="8" fontId="7" fillId="0" borderId="0" xfId="0" applyNumberFormat="1" applyFont="1" applyAlignment="1">
      <alignment horizontal="center" vertical="center"/>
    </xf>
    <xf numFmtId="0" fontId="7" fillId="0" borderId="3" xfId="0" applyFont="1" applyBorder="1" applyAlignment="1">
      <alignment horizontal="center" vertical="center"/>
    </xf>
    <xf numFmtId="6" fontId="7" fillId="0" borderId="0" xfId="0" applyNumberFormat="1" applyFont="1" applyAlignment="1">
      <alignment horizontal="center" vertical="center"/>
    </xf>
    <xf numFmtId="0" fontId="23" fillId="0" borderId="0" xfId="0" applyFont="1" applyAlignment="1">
      <alignment horizontal="right"/>
    </xf>
    <xf numFmtId="8" fontId="0" fillId="0" borderId="0" xfId="0" applyNumberFormat="1" applyFont="1"/>
    <xf numFmtId="0" fontId="0" fillId="0" borderId="0" xfId="0" applyFont="1" applyAlignment="1">
      <alignment vertical="top" wrapText="1"/>
    </xf>
    <xf numFmtId="3" fontId="7" fillId="0" borderId="0" xfId="0" applyNumberFormat="1" applyFont="1" applyAlignment="1">
      <alignment horizontal="center" vertical="center"/>
    </xf>
    <xf numFmtId="3" fontId="7" fillId="0" borderId="3" xfId="0" applyNumberFormat="1" applyFont="1" applyBorder="1" applyAlignment="1">
      <alignment horizontal="center" vertical="center"/>
    </xf>
    <xf numFmtId="8" fontId="7" fillId="0" borderId="0" xfId="0" applyNumberFormat="1" applyFont="1" applyFill="1" applyAlignment="1">
      <alignment horizontal="right" vertical="center"/>
    </xf>
    <xf numFmtId="8" fontId="7" fillId="0" borderId="13" xfId="0" applyNumberFormat="1" applyFont="1" applyBorder="1" applyAlignment="1">
      <alignment horizontal="right" vertical="center"/>
    </xf>
    <xf numFmtId="0" fontId="7" fillId="0" borderId="9" xfId="0" applyFont="1" applyFill="1" applyBorder="1" applyAlignment="1">
      <alignment horizontal="right" vertical="center" wrapText="1"/>
    </xf>
    <xf numFmtId="8" fontId="7" fillId="0" borderId="3" xfId="0" applyNumberFormat="1" applyFont="1" applyFill="1" applyBorder="1" applyAlignment="1">
      <alignment horizontal="right" vertical="center"/>
    </xf>
    <xf numFmtId="0" fontId="0" fillId="0" borderId="0" xfId="0" applyFont="1" applyFill="1" applyAlignment="1">
      <alignment horizontal="right"/>
    </xf>
    <xf numFmtId="0" fontId="7" fillId="0" borderId="5" xfId="0" applyFont="1" applyFill="1" applyBorder="1" applyAlignment="1">
      <alignment horizontal="right"/>
    </xf>
    <xf numFmtId="0" fontId="7" fillId="0" borderId="0" xfId="0" applyFont="1" applyFill="1" applyBorder="1" applyAlignment="1">
      <alignment horizontal="right"/>
    </xf>
    <xf numFmtId="6" fontId="7" fillId="0" borderId="0" xfId="0" applyNumberFormat="1" applyFont="1" applyFill="1" applyAlignment="1">
      <alignment horizontal="right" vertical="center"/>
    </xf>
    <xf numFmtId="0" fontId="6" fillId="0" borderId="0" xfId="0" applyFont="1" applyFill="1" applyAlignment="1">
      <alignment horizontal="right" vertical="center"/>
    </xf>
    <xf numFmtId="0" fontId="0" fillId="0" borderId="9" xfId="0" applyFont="1" applyFill="1" applyBorder="1" applyAlignment="1">
      <alignment horizontal="right"/>
    </xf>
    <xf numFmtId="0" fontId="0" fillId="0" borderId="5" xfId="0" applyFont="1" applyFill="1" applyBorder="1" applyAlignment="1">
      <alignment horizontal="right"/>
    </xf>
    <xf numFmtId="0" fontId="0" fillId="0" borderId="0" xfId="0" applyFont="1" applyFill="1" applyBorder="1" applyAlignment="1">
      <alignment horizontal="right"/>
    </xf>
    <xf numFmtId="0" fontId="0" fillId="0" borderId="0" xfId="0" applyFill="1" applyAlignment="1">
      <alignment horizontal="right"/>
    </xf>
    <xf numFmtId="0" fontId="0" fillId="0" borderId="7" xfId="0" applyFont="1" applyFill="1" applyBorder="1" applyAlignment="1">
      <alignment horizontal="right"/>
    </xf>
    <xf numFmtId="0" fontId="0" fillId="0" borderId="0" xfId="0" applyFont="1" applyFill="1" applyAlignment="1"/>
    <xf numFmtId="0" fontId="0" fillId="0" borderId="0" xfId="0" applyFill="1"/>
    <xf numFmtId="0" fontId="0" fillId="0" borderId="0" xfId="0" applyFont="1" applyFill="1"/>
    <xf numFmtId="0" fontId="0" fillId="0" borderId="0" xfId="0" applyFont="1" applyFill="1" applyAlignment="1">
      <alignment vertical="top" wrapText="1"/>
    </xf>
    <xf numFmtId="0" fontId="19" fillId="0" borderId="1" xfId="0" applyFont="1" applyFill="1" applyBorder="1" applyAlignment="1">
      <alignment horizontal="right" vertical="center" wrapText="1"/>
    </xf>
    <xf numFmtId="0" fontId="0" fillId="0" borderId="0" xfId="0" applyFont="1" applyFill="1" applyBorder="1"/>
    <xf numFmtId="8" fontId="0" fillId="0" borderId="0" xfId="0" applyNumberFormat="1" applyFont="1" applyAlignment="1">
      <alignment horizontal="right"/>
    </xf>
    <xf numFmtId="8" fontId="0" fillId="0" borderId="9" xfId="0" applyNumberFormat="1" applyFont="1" applyBorder="1" applyAlignment="1">
      <alignment horizontal="right"/>
    </xf>
    <xf numFmtId="165" fontId="7" fillId="0" borderId="0" xfId="0" applyNumberFormat="1" applyFont="1" applyAlignment="1">
      <alignment horizontal="right" vertical="center"/>
    </xf>
    <xf numFmtId="0" fontId="7" fillId="0" borderId="5" xfId="0" applyFont="1" applyBorder="1" applyAlignment="1">
      <alignment horizontal="right" vertical="center"/>
    </xf>
    <xf numFmtId="0" fontId="7" fillId="0" borderId="5" xfId="0" applyFont="1" applyBorder="1" applyAlignment="1">
      <alignment horizontal="center" vertical="center"/>
    </xf>
    <xf numFmtId="8" fontId="7" fillId="0" borderId="3" xfId="0" applyNumberFormat="1" applyFont="1" applyBorder="1" applyAlignment="1">
      <alignment horizontal="center" vertical="center"/>
    </xf>
    <xf numFmtId="6" fontId="7" fillId="0" borderId="0" xfId="0" applyNumberFormat="1" applyFont="1" applyBorder="1" applyAlignment="1">
      <alignment horizontal="center" vertical="center"/>
    </xf>
    <xf numFmtId="8" fontId="7" fillId="0" borderId="0" xfId="0" applyNumberFormat="1" applyFont="1" applyBorder="1" applyAlignment="1">
      <alignment horizontal="right" vertical="center"/>
    </xf>
    <xf numFmtId="166" fontId="7" fillId="0" borderId="0" xfId="0" applyNumberFormat="1" applyFont="1" applyAlignment="1">
      <alignment horizontal="right" vertical="center"/>
    </xf>
    <xf numFmtId="167" fontId="7" fillId="0" borderId="0" xfId="0" applyNumberFormat="1" applyFont="1" applyAlignment="1">
      <alignment horizontal="right" vertical="center"/>
    </xf>
    <xf numFmtId="8" fontId="7" fillId="0" borderId="0" xfId="0" applyNumberFormat="1" applyFont="1" applyBorder="1" applyAlignment="1">
      <alignment horizontal="center" vertical="center"/>
    </xf>
    <xf numFmtId="165" fontId="7" fillId="0" borderId="0" xfId="0" applyNumberFormat="1" applyFont="1" applyBorder="1" applyAlignment="1">
      <alignment horizontal="right" vertical="center"/>
    </xf>
    <xf numFmtId="0" fontId="7" fillId="0" borderId="0" xfId="0" applyFont="1" applyAlignment="1">
      <alignment horizontal="right"/>
    </xf>
    <xf numFmtId="0" fontId="8" fillId="0" borderId="5" xfId="0" applyFont="1" applyBorder="1" applyAlignment="1">
      <alignment horizontal="center" wrapText="1"/>
    </xf>
    <xf numFmtId="3" fontId="7" fillId="0" borderId="0" xfId="0" applyNumberFormat="1" applyFont="1" applyFill="1" applyAlignment="1">
      <alignment horizontal="right" vertical="center"/>
    </xf>
    <xf numFmtId="0" fontId="24" fillId="0" borderId="0" xfId="0" applyFont="1"/>
    <xf numFmtId="0" fontId="7" fillId="0" borderId="9" xfId="0" applyFont="1" applyBorder="1" applyAlignment="1">
      <alignment horizontal="center" vertical="center" wrapText="1"/>
    </xf>
    <xf numFmtId="6" fontId="7" fillId="0" borderId="13" xfId="0" applyNumberFormat="1" applyFont="1" applyBorder="1" applyAlignment="1">
      <alignment horizontal="right" vertical="center"/>
    </xf>
    <xf numFmtId="6" fontId="7" fillId="0" borderId="3" xfId="0" applyNumberFormat="1" applyFont="1" applyBorder="1" applyAlignment="1">
      <alignment horizontal="right" vertical="center"/>
    </xf>
    <xf numFmtId="8" fontId="10" fillId="0" borderId="0" xfId="0" applyNumberFormat="1" applyFont="1" applyAlignment="1">
      <alignment horizontal="right" vertical="center"/>
    </xf>
    <xf numFmtId="6" fontId="10" fillId="0" borderId="0" xfId="0" applyNumberFormat="1" applyFont="1" applyAlignment="1">
      <alignment horizontal="right" vertical="center"/>
    </xf>
    <xf numFmtId="0" fontId="25" fillId="0" borderId="0" xfId="0" applyFont="1" applyAlignment="1">
      <alignment horizontal="right"/>
    </xf>
    <xf numFmtId="0" fontId="18" fillId="0" borderId="1" xfId="0" applyFont="1" applyBorder="1" applyAlignment="1">
      <alignment horizontal="right" wrapText="1"/>
    </xf>
    <xf numFmtId="8" fontId="7" fillId="0" borderId="0" xfId="0" applyNumberFormat="1" applyFont="1" applyFill="1" applyBorder="1" applyAlignment="1">
      <alignment horizontal="right" vertical="center"/>
    </xf>
    <xf numFmtId="6" fontId="7" fillId="0" borderId="3" xfId="0" applyNumberFormat="1" applyFont="1" applyFill="1" applyBorder="1" applyAlignment="1">
      <alignment horizontal="right" vertical="center"/>
    </xf>
    <xf numFmtId="0" fontId="7" fillId="2" borderId="3" xfId="0" applyFont="1" applyFill="1" applyBorder="1" applyAlignment="1" applyProtection="1">
      <alignment vertical="center"/>
      <protection locked="0"/>
    </xf>
    <xf numFmtId="3" fontId="7" fillId="2" borderId="0" xfId="0" applyNumberFormat="1" applyFont="1" applyFill="1" applyAlignment="1" applyProtection="1">
      <alignment horizontal="right" vertical="center"/>
      <protection locked="0"/>
    </xf>
    <xf numFmtId="3" fontId="7" fillId="2" borderId="3" xfId="0" applyNumberFormat="1" applyFont="1" applyFill="1" applyBorder="1" applyAlignment="1" applyProtection="1">
      <alignment horizontal="right" vertical="center"/>
      <protection locked="0"/>
    </xf>
    <xf numFmtId="8" fontId="7" fillId="2" borderId="0" xfId="0" applyNumberFormat="1" applyFont="1" applyFill="1" applyAlignment="1" applyProtection="1">
      <alignment horizontal="right" vertical="center"/>
      <protection locked="0"/>
    </xf>
    <xf numFmtId="8" fontId="7" fillId="2" borderId="3" xfId="0" applyNumberFormat="1" applyFont="1" applyFill="1" applyBorder="1" applyAlignment="1" applyProtection="1">
      <alignment horizontal="right" vertical="center"/>
      <protection locked="0"/>
    </xf>
    <xf numFmtId="0" fontId="8" fillId="2" borderId="2" xfId="0" applyFont="1" applyFill="1" applyBorder="1" applyProtection="1">
      <protection locked="0"/>
    </xf>
    <xf numFmtId="6" fontId="7" fillId="2" borderId="0" xfId="0" applyNumberFormat="1" applyFont="1" applyFill="1" applyAlignment="1" applyProtection="1">
      <alignment horizontal="right" vertical="center"/>
      <protection locked="0"/>
    </xf>
    <xf numFmtId="164" fontId="7" fillId="2" borderId="0" xfId="0" applyNumberFormat="1" applyFont="1" applyFill="1" applyAlignment="1" applyProtection="1">
      <alignment horizontal="right" vertical="center"/>
      <protection locked="0"/>
    </xf>
    <xf numFmtId="4" fontId="7" fillId="2" borderId="0" xfId="0" applyNumberFormat="1" applyFont="1" applyFill="1" applyAlignment="1" applyProtection="1">
      <alignment horizontal="right" vertical="center"/>
      <protection locked="0"/>
    </xf>
    <xf numFmtId="0" fontId="8" fillId="2" borderId="3" xfId="0" applyFont="1" applyFill="1" applyBorder="1" applyProtection="1">
      <protection locked="0"/>
    </xf>
    <xf numFmtId="0" fontId="8" fillId="2" borderId="4" xfId="0" applyFont="1" applyFill="1" applyBorder="1" applyProtection="1">
      <protection locked="0"/>
    </xf>
    <xf numFmtId="0" fontId="8" fillId="2" borderId="12" xfId="0" applyFont="1" applyFill="1" applyBorder="1" applyProtection="1">
      <protection locked="0"/>
    </xf>
    <xf numFmtId="0" fontId="8" fillId="2" borderId="0" xfId="0" applyFont="1" applyFill="1" applyBorder="1" applyProtection="1">
      <protection locked="0"/>
    </xf>
    <xf numFmtId="0" fontId="0" fillId="2" borderId="12" xfId="0" applyFont="1" applyFill="1" applyBorder="1" applyProtection="1">
      <protection locked="0"/>
    </xf>
    <xf numFmtId="8" fontId="23" fillId="0" borderId="0" xfId="0" applyNumberFormat="1" applyFont="1" applyAlignment="1">
      <alignment horizontal="right" vertical="center"/>
    </xf>
    <xf numFmtId="8" fontId="23" fillId="0" borderId="9" xfId="0" applyNumberFormat="1" applyFont="1" applyBorder="1" applyAlignment="1">
      <alignment horizontal="right" vertical="center"/>
    </xf>
    <xf numFmtId="6" fontId="23" fillId="0" borderId="0" xfId="0" applyNumberFormat="1" applyFont="1" applyAlignment="1">
      <alignment horizontal="right" vertical="center"/>
    </xf>
    <xf numFmtId="6" fontId="23" fillId="0" borderId="9" xfId="0" applyNumberFormat="1" applyFont="1" applyBorder="1" applyAlignment="1">
      <alignment horizontal="right" vertical="center"/>
    </xf>
    <xf numFmtId="0" fontId="23" fillId="0" borderId="0" xfId="0" applyFont="1" applyAlignment="1">
      <alignment horizontal="right" wrapText="1"/>
    </xf>
    <xf numFmtId="166" fontId="7" fillId="2" borderId="0" xfId="0" applyNumberFormat="1" applyFont="1" applyFill="1" applyAlignment="1" applyProtection="1">
      <alignment horizontal="right" vertical="center"/>
      <protection locked="0"/>
    </xf>
    <xf numFmtId="6" fontId="7" fillId="0" borderId="0" xfId="0" applyNumberFormat="1" applyFont="1" applyBorder="1" applyAlignment="1">
      <alignment horizontal="right" vertical="center"/>
    </xf>
    <xf numFmtId="0" fontId="7" fillId="2" borderId="0" xfId="0" applyFont="1" applyFill="1" applyBorder="1" applyAlignment="1" applyProtection="1">
      <alignment vertical="center"/>
      <protection locked="0"/>
    </xf>
    <xf numFmtId="166" fontId="7" fillId="0" borderId="3" xfId="0" applyNumberFormat="1" applyFont="1" applyBorder="1" applyAlignment="1">
      <alignment horizontal="right" vertical="center"/>
    </xf>
    <xf numFmtId="0" fontId="9" fillId="0" borderId="0" xfId="0" applyFont="1" applyAlignment="1">
      <alignment horizontal="right" vertical="center"/>
    </xf>
    <xf numFmtId="3" fontId="9" fillId="2" borderId="0" xfId="0" applyNumberFormat="1" applyFont="1" applyFill="1" applyAlignment="1" applyProtection="1">
      <alignment horizontal="left" vertical="center"/>
      <protection locked="0"/>
    </xf>
    <xf numFmtId="168" fontId="7" fillId="2" borderId="0" xfId="0" applyNumberFormat="1" applyFont="1" applyFill="1" applyAlignment="1" applyProtection="1">
      <alignment horizontal="right" vertical="center"/>
      <protection locked="0"/>
    </xf>
    <xf numFmtId="169" fontId="7" fillId="2" borderId="0" xfId="0" applyNumberFormat="1" applyFont="1" applyFill="1" applyAlignment="1" applyProtection="1">
      <alignment horizontal="right" vertical="center"/>
      <protection locked="0"/>
    </xf>
    <xf numFmtId="6" fontId="8" fillId="0" borderId="0" xfId="0" applyNumberFormat="1" applyFont="1" applyBorder="1"/>
    <xf numFmtId="166" fontId="7" fillId="0" borderId="0" xfId="0" applyNumberFormat="1" applyFont="1" applyBorder="1" applyAlignment="1">
      <alignment horizontal="right" vertical="center"/>
    </xf>
    <xf numFmtId="0" fontId="28" fillId="0" borderId="0" xfId="0" applyFont="1" applyAlignment="1">
      <alignment horizontal="center"/>
    </xf>
    <xf numFmtId="0" fontId="7" fillId="0" borderId="0" xfId="0" applyFont="1"/>
    <xf numFmtId="0" fontId="7" fillId="0" borderId="0" xfId="0" applyFont="1" applyAlignment="1">
      <alignment horizontal="right" vertical="center" indent="1"/>
    </xf>
    <xf numFmtId="170" fontId="7" fillId="2" borderId="0" xfId="0" applyNumberFormat="1" applyFont="1" applyFill="1" applyAlignment="1" applyProtection="1">
      <alignment horizontal="center" vertical="center"/>
      <protection locked="0"/>
    </xf>
    <xf numFmtId="6" fontId="0" fillId="0" borderId="0" xfId="0" applyNumberFormat="1" applyFont="1" applyFill="1" applyAlignment="1" applyProtection="1">
      <alignment horizontal="right" vertical="center"/>
    </xf>
    <xf numFmtId="0" fontId="0" fillId="0" borderId="0" xfId="0" applyFont="1" applyAlignment="1">
      <alignment vertical="top" wrapText="1"/>
    </xf>
    <xf numFmtId="38" fontId="0" fillId="2" borderId="0" xfId="0" applyNumberFormat="1" applyFont="1" applyFill="1" applyAlignment="1" applyProtection="1">
      <alignment vertical="top" wrapText="1"/>
      <protection locked="0"/>
    </xf>
    <xf numFmtId="0" fontId="10" fillId="0" borderId="0" xfId="0" applyNumberFormat="1" applyFont="1" applyAlignment="1">
      <alignment horizontal="right" vertical="center"/>
    </xf>
    <xf numFmtId="0" fontId="6" fillId="0" borderId="0" xfId="0" applyFont="1" applyAlignment="1">
      <alignment horizontal="right" vertical="center"/>
    </xf>
    <xf numFmtId="0" fontId="4" fillId="0" borderId="7" xfId="0" applyFont="1" applyBorder="1" applyAlignment="1">
      <alignment horizontal="center"/>
    </xf>
    <xf numFmtId="0" fontId="0" fillId="0" borderId="7" xfId="0" applyBorder="1" applyAlignment="1"/>
    <xf numFmtId="0" fontId="1" fillId="0" borderId="8" xfId="0" applyFont="1" applyBorder="1" applyAlignment="1">
      <alignment horizontal="center" wrapText="1"/>
    </xf>
    <xf numFmtId="0" fontId="0" fillId="0" borderId="8" xfId="0" applyBorder="1" applyAlignment="1">
      <alignment horizontal="center" wrapText="1"/>
    </xf>
    <xf numFmtId="0" fontId="0" fillId="0" borderId="11" xfId="0" applyBorder="1" applyAlignment="1">
      <alignment horizontal="left" vertical="top" wrapText="1"/>
    </xf>
    <xf numFmtId="0" fontId="0" fillId="0" borderId="11" xfId="0" applyBorder="1" applyAlignment="1"/>
    <xf numFmtId="0" fontId="20" fillId="0" borderId="0" xfId="0" applyFont="1" applyFill="1" applyAlignment="1">
      <alignment vertical="top" wrapText="1"/>
    </xf>
    <xf numFmtId="0" fontId="0" fillId="0" borderId="0" xfId="0" applyFont="1" applyAlignment="1">
      <alignment vertical="top" wrapText="1"/>
    </xf>
    <xf numFmtId="0" fontId="0" fillId="0" borderId="0" xfId="0" applyFont="1" applyAlignment="1">
      <alignment wrapText="1"/>
    </xf>
    <xf numFmtId="0" fontId="13" fillId="0" borderId="0" xfId="0" applyFont="1" applyAlignment="1">
      <alignment vertical="top" wrapText="1"/>
    </xf>
    <xf numFmtId="0" fontId="0" fillId="0" borderId="0" xfId="0" applyFont="1" applyAlignment="1"/>
    <xf numFmtId="0" fontId="1" fillId="0" borderId="0" xfId="0" applyFont="1" applyAlignment="1">
      <alignment wrapText="1"/>
    </xf>
    <xf numFmtId="0" fontId="0" fillId="0" borderId="0" xfId="0" applyFont="1" applyFill="1" applyAlignment="1">
      <alignment horizontal="left" vertical="top" wrapText="1"/>
    </xf>
    <xf numFmtId="0" fontId="0" fillId="0" borderId="0" xfId="0" applyFont="1" applyAlignment="1">
      <alignment horizontal="left" vertical="top" wrapText="1"/>
    </xf>
  </cellXfs>
  <cellStyles count="2">
    <cellStyle name="Normal" xfId="0" builtinId="0"/>
    <cellStyle name="Normal 2" xfId="1"/>
  </cellStyles>
  <dxfs count="0"/>
  <tableStyles count="0" defaultTableStyle="TableStyleMedium9"/>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50801</xdr:colOff>
      <xdr:row>0</xdr:row>
      <xdr:rowOff>50800</xdr:rowOff>
    </xdr:from>
    <xdr:to>
      <xdr:col>0</xdr:col>
      <xdr:colOff>1238250</xdr:colOff>
      <xdr:row>0</xdr:row>
      <xdr:rowOff>416560</xdr:rowOff>
    </xdr:to>
    <xdr:pic>
      <xdr:nvPicPr>
        <xdr:cNvPr id="2" name="Picture 3" descr="2000UMCECVUSMAL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01" y="50800"/>
          <a:ext cx="1187449"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19050</xdr:colOff>
      <xdr:row>75</xdr:row>
      <xdr:rowOff>85725</xdr:rowOff>
    </xdr:from>
    <xdr:to>
      <xdr:col>9</xdr:col>
      <xdr:colOff>1371600</xdr:colOff>
      <xdr:row>75</xdr:row>
      <xdr:rowOff>95249</xdr:rowOff>
    </xdr:to>
    <xdr:sp macro="" textlink="">
      <xdr:nvSpPr>
        <xdr:cNvPr id="3" name="Line 4"/>
        <xdr:cNvSpPr>
          <a:spLocks noChangeShapeType="1"/>
        </xdr:cNvSpPr>
      </xdr:nvSpPr>
      <xdr:spPr bwMode="auto">
        <a:xfrm flipV="1">
          <a:off x="4994910" y="8963025"/>
          <a:ext cx="1352550" cy="9524"/>
        </a:xfrm>
        <a:prstGeom prst="line">
          <a:avLst/>
        </a:prstGeom>
        <a:noFill/>
        <a:ln w="28575">
          <a:solidFill>
            <a:srgbClr val="000000"/>
          </a:solidFill>
          <a:round/>
          <a:headEnd/>
          <a:tailEnd type="triangle" w="med" len="med"/>
        </a:ln>
        <a:extLst>
          <a:ext uri="{909E8E84-426E-40DD-AFC4-6F175D3DCCD1}">
            <a14:hiddenFill xmlns:a14="http://schemas.microsoft.com/office/drawing/2010/main">
              <a:noFill/>
            </a14:hiddenFill>
          </a:ext>
        </a:extLst>
      </xdr:spPr>
      <xdr:txBody>
        <a:bodyPr rtlCol="0"/>
        <a:lstStyle/>
        <a:p>
          <a:pPr algn="ct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41"/>
  <sheetViews>
    <sheetView tabSelected="1" topLeftCell="A85" zoomScaleNormal="100" zoomScaleSheetLayoutView="100" workbookViewId="0">
      <selection activeCell="J99" sqref="J99"/>
    </sheetView>
  </sheetViews>
  <sheetFormatPr defaultColWidth="8.7109375" defaultRowHeight="15" x14ac:dyDescent="0.25"/>
  <cols>
    <col min="1" max="1" width="43.7109375" style="4" customWidth="1"/>
    <col min="2" max="2" width="16.5703125" style="4" customWidth="1"/>
    <col min="3" max="3" width="1.7109375" style="4" customWidth="1"/>
    <col min="4" max="4" width="20" style="4" customWidth="1"/>
    <col min="5" max="5" width="1.7109375" style="96" customWidth="1"/>
    <col min="6" max="6" width="11.7109375" style="4" customWidth="1"/>
    <col min="7" max="7" width="17.7109375" style="4" customWidth="1"/>
    <col min="8" max="9" width="13.28515625" style="4" customWidth="1"/>
    <col min="10" max="10" width="20.28515625" style="2" customWidth="1"/>
    <col min="11" max="16384" width="8.7109375" style="4"/>
  </cols>
  <sheetData>
    <row r="1" spans="1:10" s="3" customFormat="1" ht="52.15" customHeight="1" thickBot="1" x14ac:dyDescent="0.5">
      <c r="A1" s="164" t="str">
        <f>CONCATENATE("Maine Wild Blueberry Enterprise Budget - CONVENTIONAL Frozen - ",B8," acres")</f>
        <v>Maine Wild Blueberry Enterprise Budget - CONVENTIONAL Frozen - 500 acres</v>
      </c>
      <c r="B1" s="165"/>
      <c r="C1" s="165"/>
      <c r="D1" s="165"/>
      <c r="E1" s="165"/>
      <c r="F1" s="165"/>
      <c r="G1" s="165"/>
      <c r="H1" s="165"/>
      <c r="I1" s="165"/>
      <c r="J1" s="165"/>
    </row>
    <row r="2" spans="1:10" ht="45.75" customHeight="1" thickTop="1" x14ac:dyDescent="0.25">
      <c r="A2" s="166" t="s">
        <v>105</v>
      </c>
      <c r="B2" s="167"/>
      <c r="C2" s="167"/>
      <c r="D2" s="167"/>
      <c r="E2" s="167"/>
      <c r="F2" s="167"/>
      <c r="G2" s="167"/>
      <c r="H2" s="167"/>
      <c r="I2" s="167"/>
      <c r="J2" s="167"/>
    </row>
    <row r="3" spans="1:10" ht="66" customHeight="1" thickBot="1" x14ac:dyDescent="0.3">
      <c r="A3" s="168" t="s">
        <v>113</v>
      </c>
      <c r="B3" s="169"/>
      <c r="C3" s="169"/>
      <c r="D3" s="169"/>
      <c r="E3" s="169"/>
      <c r="F3" s="169"/>
      <c r="G3" s="169"/>
      <c r="H3" s="169"/>
      <c r="I3" s="169"/>
      <c r="J3" s="169"/>
    </row>
    <row r="4" spans="1:10" ht="28.9" customHeight="1" thickBot="1" x14ac:dyDescent="0.3">
      <c r="A4" s="29" t="s">
        <v>21</v>
      </c>
      <c r="B4" s="46" t="s">
        <v>97</v>
      </c>
      <c r="C4" s="46"/>
      <c r="D4" s="46" t="s">
        <v>28</v>
      </c>
      <c r="E4" s="83"/>
      <c r="F4" s="46"/>
      <c r="G4" s="46" t="s">
        <v>100</v>
      </c>
      <c r="H4" s="46" t="s">
        <v>35</v>
      </c>
      <c r="I4" s="46" t="s">
        <v>89</v>
      </c>
      <c r="J4" s="30" t="s">
        <v>44</v>
      </c>
    </row>
    <row r="5" spans="1:10" ht="13.15" customHeight="1" x14ac:dyDescent="0.25">
      <c r="A5" s="5" t="s">
        <v>31</v>
      </c>
      <c r="B5" s="127">
        <v>5000</v>
      </c>
      <c r="C5" s="79" t="s">
        <v>34</v>
      </c>
      <c r="D5" s="129">
        <v>0.6</v>
      </c>
      <c r="E5" s="81"/>
      <c r="F5" s="73" t="s">
        <v>29</v>
      </c>
      <c r="G5" s="68">
        <f>B5*D5</f>
        <v>3000</v>
      </c>
      <c r="H5" s="68">
        <f>G5/$B$5</f>
        <v>0.6</v>
      </c>
      <c r="I5" s="118">
        <f>G5*$B$8</f>
        <v>1500000</v>
      </c>
      <c r="J5" s="131"/>
    </row>
    <row r="6" spans="1:10" ht="13.15" customHeight="1" x14ac:dyDescent="0.25">
      <c r="A6" s="126" t="s">
        <v>32</v>
      </c>
      <c r="B6" s="128">
        <v>0</v>
      </c>
      <c r="C6" s="80" t="s">
        <v>34</v>
      </c>
      <c r="D6" s="130">
        <v>0</v>
      </c>
      <c r="E6" s="84"/>
      <c r="F6" s="74" t="s">
        <v>29</v>
      </c>
      <c r="G6" s="66">
        <f>B6*D6</f>
        <v>0</v>
      </c>
      <c r="H6" s="66">
        <f>G6/$B$5</f>
        <v>0</v>
      </c>
      <c r="I6" s="119">
        <f>G6*$B$8</f>
        <v>0</v>
      </c>
      <c r="J6" s="131"/>
    </row>
    <row r="7" spans="1:10" ht="13.15" customHeight="1" x14ac:dyDescent="0.25">
      <c r="A7" s="7" t="s">
        <v>11</v>
      </c>
      <c r="B7" s="47"/>
      <c r="C7" s="47"/>
      <c r="D7" s="43"/>
      <c r="E7" s="85"/>
      <c r="F7" s="48"/>
      <c r="G7" s="48">
        <f>SUM(G5:G6)</f>
        <v>3000</v>
      </c>
      <c r="H7" s="48">
        <f>SUM(H5:H6)</f>
        <v>0.6</v>
      </c>
      <c r="I7" s="47">
        <f>SUM(I5:I6)</f>
        <v>1500000</v>
      </c>
      <c r="J7" s="8"/>
    </row>
    <row r="8" spans="1:10" ht="13.15" customHeight="1" thickBot="1" x14ac:dyDescent="0.3">
      <c r="A8" s="149" t="s">
        <v>78</v>
      </c>
      <c r="B8" s="150">
        <v>500</v>
      </c>
      <c r="C8" s="43"/>
      <c r="D8" s="43"/>
      <c r="E8" s="85"/>
      <c r="F8" s="43"/>
      <c r="G8" s="43"/>
      <c r="H8" s="43"/>
      <c r="I8" s="55"/>
      <c r="J8" s="25"/>
    </row>
    <row r="9" spans="1:10" ht="28.9" customHeight="1" thickBot="1" x14ac:dyDescent="0.3">
      <c r="A9" s="20" t="s">
        <v>9</v>
      </c>
      <c r="B9" s="104" t="s">
        <v>51</v>
      </c>
      <c r="C9" s="49"/>
      <c r="D9" s="105" t="s">
        <v>77</v>
      </c>
      <c r="E9" s="86"/>
      <c r="F9" s="50"/>
      <c r="G9" s="50" t="s">
        <v>99</v>
      </c>
      <c r="H9" s="50" t="s">
        <v>36</v>
      </c>
      <c r="I9" s="117" t="s">
        <v>90</v>
      </c>
      <c r="J9" s="114" t="s">
        <v>44</v>
      </c>
    </row>
    <row r="10" spans="1:10" ht="15" customHeight="1" x14ac:dyDescent="0.25">
      <c r="A10" s="21" t="s">
        <v>0</v>
      </c>
      <c r="B10" s="51"/>
      <c r="C10" s="51"/>
      <c r="D10" s="51"/>
      <c r="E10" s="87"/>
      <c r="F10" s="51"/>
      <c r="G10" s="51"/>
      <c r="H10" s="51"/>
      <c r="I10" s="51"/>
      <c r="J10" s="8"/>
    </row>
    <row r="11" spans="1:10" ht="13.15" customHeight="1" x14ac:dyDescent="0.25">
      <c r="A11" s="9" t="s">
        <v>6</v>
      </c>
      <c r="B11" s="115" t="s">
        <v>33</v>
      </c>
      <c r="C11" s="52"/>
      <c r="D11" s="132">
        <v>117439</v>
      </c>
      <c r="E11" s="81"/>
      <c r="F11" s="73"/>
      <c r="G11" s="68">
        <f>D11/$B$8</f>
        <v>234.87799999999999</v>
      </c>
      <c r="H11" s="68">
        <f>G11/$B$5</f>
        <v>4.6975599999999999E-2</v>
      </c>
      <c r="I11" s="53">
        <f>G11*$B$8</f>
        <v>117439</v>
      </c>
      <c r="J11" s="131"/>
    </row>
    <row r="12" spans="1:10" ht="13.15" customHeight="1" x14ac:dyDescent="0.25">
      <c r="A12" s="9" t="s">
        <v>38</v>
      </c>
      <c r="B12" s="88"/>
      <c r="C12" s="53"/>
      <c r="D12" s="43"/>
      <c r="E12" s="85"/>
      <c r="F12" s="73"/>
      <c r="G12" s="68"/>
      <c r="H12" s="68"/>
      <c r="I12" s="68"/>
      <c r="J12" s="10"/>
    </row>
    <row r="13" spans="1:10" ht="13.15" customHeight="1" x14ac:dyDescent="0.25">
      <c r="A13" s="39" t="s">
        <v>39</v>
      </c>
      <c r="B13" s="115" t="s">
        <v>33</v>
      </c>
      <c r="C13" s="52"/>
      <c r="D13" s="132">
        <v>10227</v>
      </c>
      <c r="E13" s="88"/>
      <c r="F13" s="73"/>
      <c r="G13" s="68">
        <f>D13/$B$8</f>
        <v>20.454000000000001</v>
      </c>
      <c r="H13" s="103">
        <f t="shared" ref="H13:H20" si="0">G13/$B$5</f>
        <v>4.0908000000000003E-3</v>
      </c>
      <c r="I13" s="53">
        <f t="shared" ref="I13:I20" si="1">G13*$B$8</f>
        <v>10227</v>
      </c>
      <c r="J13" s="131"/>
    </row>
    <row r="14" spans="1:10" ht="13.15" customHeight="1" x14ac:dyDescent="0.25">
      <c r="A14" s="39" t="s">
        <v>40</v>
      </c>
      <c r="B14" s="115" t="s">
        <v>33</v>
      </c>
      <c r="C14" s="52"/>
      <c r="D14" s="132">
        <v>86381</v>
      </c>
      <c r="E14" s="88"/>
      <c r="F14" s="73"/>
      <c r="G14" s="68">
        <f>D14/$B$8</f>
        <v>172.762</v>
      </c>
      <c r="H14" s="68">
        <f t="shared" si="0"/>
        <v>3.4552399999999997E-2</v>
      </c>
      <c r="I14" s="53">
        <f t="shared" si="1"/>
        <v>86381</v>
      </c>
      <c r="J14" s="131"/>
    </row>
    <row r="15" spans="1:10" ht="13.15" customHeight="1" x14ac:dyDescent="0.25">
      <c r="A15" s="39" t="s">
        <v>41</v>
      </c>
      <c r="B15" s="115" t="s">
        <v>33</v>
      </c>
      <c r="C15" s="52"/>
      <c r="D15" s="132">
        <v>14851</v>
      </c>
      <c r="E15" s="88"/>
      <c r="F15" s="73"/>
      <c r="G15" s="68">
        <f>D15/$B$8</f>
        <v>29.702000000000002</v>
      </c>
      <c r="H15" s="68">
        <f t="shared" si="0"/>
        <v>5.9404000000000002E-3</v>
      </c>
      <c r="I15" s="53">
        <f t="shared" si="1"/>
        <v>14851</v>
      </c>
      <c r="J15" s="136"/>
    </row>
    <row r="16" spans="1:10" ht="13.15" customHeight="1" x14ac:dyDescent="0.25">
      <c r="A16" s="39" t="s">
        <v>42</v>
      </c>
      <c r="B16" s="115" t="s">
        <v>33</v>
      </c>
      <c r="C16" s="52"/>
      <c r="D16" s="132">
        <v>3344</v>
      </c>
      <c r="E16" s="88"/>
      <c r="F16" s="73"/>
      <c r="G16" s="68">
        <f>D16/$B$8</f>
        <v>6.6879999999999997</v>
      </c>
      <c r="H16" s="103">
        <f t="shared" si="0"/>
        <v>1.3376E-3</v>
      </c>
      <c r="I16" s="53">
        <f t="shared" si="1"/>
        <v>3344</v>
      </c>
      <c r="J16" s="136"/>
    </row>
    <row r="17" spans="1:10" ht="13.15" customHeight="1" x14ac:dyDescent="0.25">
      <c r="A17" s="39" t="s">
        <v>43</v>
      </c>
      <c r="B17" s="115" t="s">
        <v>33</v>
      </c>
      <c r="C17" s="52"/>
      <c r="D17" s="132">
        <v>5127</v>
      </c>
      <c r="E17" s="81"/>
      <c r="F17" s="75"/>
      <c r="G17" s="68">
        <f>D17/$B$8</f>
        <v>10.254</v>
      </c>
      <c r="H17" s="103">
        <f t="shared" si="0"/>
        <v>2.0507999999999998E-3</v>
      </c>
      <c r="I17" s="53">
        <f t="shared" si="1"/>
        <v>5127</v>
      </c>
      <c r="J17" s="136"/>
    </row>
    <row r="18" spans="1:10" ht="13.15" customHeight="1" x14ac:dyDescent="0.25">
      <c r="A18" s="9" t="s">
        <v>46</v>
      </c>
      <c r="B18" s="151">
        <v>0.79549999999999998</v>
      </c>
      <c r="C18" s="52"/>
      <c r="D18" s="129">
        <v>3.44</v>
      </c>
      <c r="E18" s="81"/>
      <c r="F18" s="75" t="s">
        <v>29</v>
      </c>
      <c r="G18" s="108">
        <f>B18*D18</f>
        <v>2.7365200000000001</v>
      </c>
      <c r="H18" s="109">
        <f t="shared" si="0"/>
        <v>5.4730399999999998E-4</v>
      </c>
      <c r="I18" s="53">
        <f t="shared" si="1"/>
        <v>1368.26</v>
      </c>
      <c r="J18" s="136"/>
    </row>
    <row r="19" spans="1:10" ht="13.15" customHeight="1" x14ac:dyDescent="0.25">
      <c r="A19" s="9" t="s">
        <v>45</v>
      </c>
      <c r="B19" s="127">
        <v>6</v>
      </c>
      <c r="C19" s="52"/>
      <c r="D19" s="129">
        <v>136.22999999999999</v>
      </c>
      <c r="E19" s="81"/>
      <c r="F19" s="107" t="s">
        <v>29</v>
      </c>
      <c r="G19" s="108">
        <f>B19*D19</f>
        <v>817.37999999999988</v>
      </c>
      <c r="H19" s="108">
        <f t="shared" si="0"/>
        <v>0.16347599999999998</v>
      </c>
      <c r="I19" s="53">
        <f t="shared" si="1"/>
        <v>408689.99999999994</v>
      </c>
      <c r="J19" s="136"/>
    </row>
    <row r="20" spans="1:10" ht="13.15" customHeight="1" x14ac:dyDescent="0.25">
      <c r="A20" s="9" t="s">
        <v>47</v>
      </c>
      <c r="B20" s="152">
        <v>6.2509999999999996E-2</v>
      </c>
      <c r="C20" s="52"/>
      <c r="D20" s="129">
        <v>738.76</v>
      </c>
      <c r="E20" s="88"/>
      <c r="F20" s="111" t="s">
        <v>29</v>
      </c>
      <c r="G20" s="108">
        <f>(B20*D20)/7.5</f>
        <v>6.1573183466666661</v>
      </c>
      <c r="H20" s="112">
        <f t="shared" si="0"/>
        <v>1.2314636693333332E-3</v>
      </c>
      <c r="I20" s="53">
        <f t="shared" si="1"/>
        <v>3078.659173333333</v>
      </c>
      <c r="J20" s="136"/>
    </row>
    <row r="21" spans="1:10" ht="13.15" customHeight="1" x14ac:dyDescent="0.25">
      <c r="A21" s="9" t="s">
        <v>48</v>
      </c>
      <c r="B21" s="53"/>
      <c r="C21" s="53"/>
      <c r="D21" s="43"/>
      <c r="E21" s="85"/>
      <c r="F21" s="73"/>
      <c r="G21" s="68"/>
      <c r="H21" s="112"/>
      <c r="I21" s="112"/>
      <c r="J21" s="10"/>
    </row>
    <row r="22" spans="1:10" ht="13.15" customHeight="1" x14ac:dyDescent="0.25">
      <c r="A22" s="39" t="s">
        <v>50</v>
      </c>
      <c r="B22" s="134">
        <f>4*2</f>
        <v>8</v>
      </c>
      <c r="C22" s="52"/>
      <c r="D22" s="129">
        <v>5.45</v>
      </c>
      <c r="E22" s="88"/>
      <c r="F22" s="111" t="s">
        <v>29</v>
      </c>
      <c r="G22" s="108">
        <f>B22*D22</f>
        <v>43.6</v>
      </c>
      <c r="H22" s="68">
        <f>G22/$B$5</f>
        <v>8.7200000000000003E-3</v>
      </c>
      <c r="I22" s="53">
        <f>G22*$B$8</f>
        <v>21800</v>
      </c>
      <c r="J22" s="131"/>
    </row>
    <row r="23" spans="1:10" ht="13.15" customHeight="1" x14ac:dyDescent="0.25">
      <c r="A23" s="39" t="s">
        <v>49</v>
      </c>
      <c r="B23" s="115" t="s">
        <v>33</v>
      </c>
      <c r="C23" s="52"/>
      <c r="D23" s="88" t="s">
        <v>33</v>
      </c>
      <c r="E23" s="88"/>
      <c r="F23" s="111"/>
      <c r="G23" s="108" t="s">
        <v>33</v>
      </c>
      <c r="H23" s="103" t="s">
        <v>33</v>
      </c>
      <c r="I23" s="103" t="s">
        <v>33</v>
      </c>
      <c r="J23" s="8"/>
    </row>
    <row r="24" spans="1:10" ht="13.15" customHeight="1" x14ac:dyDescent="0.25">
      <c r="A24" s="9" t="s">
        <v>52</v>
      </c>
      <c r="B24" s="127">
        <v>500</v>
      </c>
      <c r="C24" s="52"/>
      <c r="D24" s="129">
        <v>5.45</v>
      </c>
      <c r="E24" s="88"/>
      <c r="F24" s="111" t="s">
        <v>29</v>
      </c>
      <c r="G24" s="108">
        <f>(B24*D24)/$B$8</f>
        <v>5.45</v>
      </c>
      <c r="H24" s="112">
        <f>G24/$B$5</f>
        <v>1.09E-3</v>
      </c>
      <c r="I24" s="146">
        <f>G24*$B$8</f>
        <v>2725</v>
      </c>
      <c r="J24" s="131"/>
    </row>
    <row r="25" spans="1:10" ht="13.15" customHeight="1" x14ac:dyDescent="0.25">
      <c r="A25" s="147" t="s">
        <v>111</v>
      </c>
      <c r="B25" s="127">
        <v>0</v>
      </c>
      <c r="C25" s="52"/>
      <c r="D25" s="129">
        <v>0</v>
      </c>
      <c r="E25" s="88"/>
      <c r="F25" s="106" t="s">
        <v>29</v>
      </c>
      <c r="G25" s="66">
        <f>(B25*D25)/$B$8</f>
        <v>0</v>
      </c>
      <c r="H25" s="148">
        <f>G25/$B$5</f>
        <v>0</v>
      </c>
      <c r="I25" s="119">
        <f>G25*$B$8</f>
        <v>0</v>
      </c>
      <c r="J25" s="135"/>
    </row>
    <row r="26" spans="1:10" ht="13.15" customHeight="1" x14ac:dyDescent="0.25">
      <c r="A26" s="27" t="s">
        <v>18</v>
      </c>
      <c r="B26" s="162"/>
      <c r="C26" s="162"/>
      <c r="D26" s="163"/>
      <c r="E26" s="89"/>
      <c r="F26" s="68"/>
      <c r="G26" s="120">
        <f>SUM(G11:G25)</f>
        <v>1350.0618383466665</v>
      </c>
      <c r="H26" s="120">
        <f>SUM(H11:H25)</f>
        <v>0.27001236766933334</v>
      </c>
      <c r="I26" s="121">
        <f>SUM(I11:I25)</f>
        <v>675030.91917333333</v>
      </c>
      <c r="J26" s="8"/>
    </row>
    <row r="27" spans="1:10" ht="13.15" customHeight="1" x14ac:dyDescent="0.25">
      <c r="A27" s="28" t="s">
        <v>1</v>
      </c>
      <c r="B27" s="53"/>
      <c r="C27" s="53"/>
      <c r="D27" s="43"/>
      <c r="E27" s="85"/>
      <c r="F27" s="68"/>
      <c r="G27" s="53"/>
      <c r="H27" s="53"/>
      <c r="I27" s="53"/>
      <c r="J27" s="153"/>
    </row>
    <row r="28" spans="1:10" ht="13.15" customHeight="1" x14ac:dyDescent="0.25">
      <c r="A28" s="9" t="s">
        <v>120</v>
      </c>
      <c r="B28" s="53"/>
      <c r="C28" s="53"/>
      <c r="D28" s="43"/>
      <c r="E28" s="85"/>
      <c r="F28" s="68"/>
      <c r="G28" s="53"/>
      <c r="H28" s="53"/>
      <c r="I28" s="53"/>
      <c r="J28" s="8"/>
    </row>
    <row r="29" spans="1:10" ht="13.15" customHeight="1" x14ac:dyDescent="0.25">
      <c r="A29" s="39" t="s">
        <v>115</v>
      </c>
      <c r="B29" s="127">
        <v>11364</v>
      </c>
      <c r="C29" s="53"/>
      <c r="D29" s="129">
        <v>5.56</v>
      </c>
      <c r="E29" s="81"/>
      <c r="F29" s="68"/>
      <c r="G29" s="68">
        <f>(B29*D29)/$B$8</f>
        <v>126.36767999999999</v>
      </c>
      <c r="H29" s="68">
        <f t="shared" ref="H29:H36" si="2">G29/$B$5</f>
        <v>2.5273535999999999E-2</v>
      </c>
      <c r="I29" s="53">
        <f>G29*$B$8</f>
        <v>63183.839999999997</v>
      </c>
      <c r="J29" s="131"/>
    </row>
    <row r="30" spans="1:10" ht="13.15" customHeight="1" x14ac:dyDescent="0.25">
      <c r="A30" s="39" t="s">
        <v>121</v>
      </c>
      <c r="B30" s="127">
        <v>0</v>
      </c>
      <c r="C30" s="53"/>
      <c r="D30" s="132">
        <v>0</v>
      </c>
      <c r="E30" s="81"/>
      <c r="F30" s="68"/>
      <c r="G30" s="53">
        <f>(B30*D30)/$B$8</f>
        <v>0</v>
      </c>
      <c r="H30" s="53">
        <f t="shared" si="2"/>
        <v>0</v>
      </c>
      <c r="I30" s="53">
        <f>G30*$B$8</f>
        <v>0</v>
      </c>
      <c r="J30" s="131"/>
    </row>
    <row r="31" spans="1:10" ht="13.15" customHeight="1" x14ac:dyDescent="0.25">
      <c r="A31" s="39" t="s">
        <v>122</v>
      </c>
      <c r="B31" s="127">
        <v>0</v>
      </c>
      <c r="C31" s="53"/>
      <c r="D31" s="129">
        <v>16.63</v>
      </c>
      <c r="E31" s="81"/>
      <c r="F31" s="68"/>
      <c r="G31" s="53">
        <f>(B31*D31)/$B$8</f>
        <v>0</v>
      </c>
      <c r="H31" s="53">
        <f t="shared" si="2"/>
        <v>0</v>
      </c>
      <c r="I31" s="53">
        <f>G31*$B$8</f>
        <v>0</v>
      </c>
      <c r="J31" s="131"/>
    </row>
    <row r="32" spans="1:10" ht="13.15" customHeight="1" x14ac:dyDescent="0.25">
      <c r="A32" s="39" t="s">
        <v>123</v>
      </c>
      <c r="B32" s="127">
        <v>180</v>
      </c>
      <c r="C32" s="53"/>
      <c r="D32" s="129">
        <v>16.63</v>
      </c>
      <c r="E32" s="81"/>
      <c r="F32" s="68"/>
      <c r="G32" s="68">
        <f>(B32*D32)/$B$8</f>
        <v>5.9867999999999997</v>
      </c>
      <c r="H32" s="103">
        <f t="shared" si="2"/>
        <v>1.19736E-3</v>
      </c>
      <c r="I32" s="53">
        <f>G32*$B$8</f>
        <v>2993.3999999999996</v>
      </c>
      <c r="J32" s="131"/>
    </row>
    <row r="33" spans="1:10" ht="13.15" customHeight="1" x14ac:dyDescent="0.25">
      <c r="A33" s="39" t="s">
        <v>116</v>
      </c>
      <c r="B33" s="151">
        <v>0.61380000000000001</v>
      </c>
      <c r="C33" s="53"/>
      <c r="D33" s="129">
        <v>16.63</v>
      </c>
      <c r="E33" s="81"/>
      <c r="F33" s="68"/>
      <c r="G33" s="68">
        <f>B33*D33</f>
        <v>10.207493999999999</v>
      </c>
      <c r="H33" s="103">
        <f t="shared" si="2"/>
        <v>2.0414987999999999E-3</v>
      </c>
      <c r="I33" s="53">
        <f t="shared" ref="I33:I36" si="3">G33*$B$8</f>
        <v>5103.7469999999994</v>
      </c>
      <c r="J33" s="131"/>
    </row>
    <row r="34" spans="1:10" ht="13.15" customHeight="1" x14ac:dyDescent="0.25">
      <c r="A34" s="9" t="s">
        <v>71</v>
      </c>
      <c r="B34" s="133">
        <v>3.758</v>
      </c>
      <c r="C34" s="53"/>
      <c r="D34" s="129">
        <v>4.82</v>
      </c>
      <c r="E34" s="81"/>
      <c r="F34" s="68"/>
      <c r="G34" s="68">
        <f>B34*D34</f>
        <v>18.11356</v>
      </c>
      <c r="H34" s="103">
        <f t="shared" si="2"/>
        <v>3.6227119999999997E-3</v>
      </c>
      <c r="I34" s="53">
        <f t="shared" si="3"/>
        <v>9056.7800000000007</v>
      </c>
      <c r="J34" s="136"/>
    </row>
    <row r="35" spans="1:10" ht="13.15" customHeight="1" x14ac:dyDescent="0.25">
      <c r="A35" s="9" t="s">
        <v>72</v>
      </c>
      <c r="B35" s="115" t="s">
        <v>33</v>
      </c>
      <c r="C35" s="53"/>
      <c r="D35" s="132">
        <v>1132</v>
      </c>
      <c r="E35" s="81"/>
      <c r="F35" s="68"/>
      <c r="G35" s="68">
        <f>D35/$B$8</f>
        <v>2.2639999999999998</v>
      </c>
      <c r="H35" s="109">
        <f t="shared" si="2"/>
        <v>4.5279999999999995E-4</v>
      </c>
      <c r="I35" s="53">
        <f t="shared" si="3"/>
        <v>1132</v>
      </c>
      <c r="J35" s="136"/>
    </row>
    <row r="36" spans="1:10" ht="13.15" customHeight="1" x14ac:dyDescent="0.25">
      <c r="A36" s="38" t="s">
        <v>14</v>
      </c>
      <c r="B36" s="127">
        <v>1</v>
      </c>
      <c r="C36" s="53"/>
      <c r="D36" s="129">
        <v>82.47</v>
      </c>
      <c r="E36" s="81"/>
      <c r="F36" s="68"/>
      <c r="G36" s="66">
        <f>B36*D36</f>
        <v>82.47</v>
      </c>
      <c r="H36" s="66">
        <f t="shared" si="2"/>
        <v>1.6493999999999998E-2</v>
      </c>
      <c r="I36" s="119">
        <f t="shared" si="3"/>
        <v>41235</v>
      </c>
      <c r="J36" s="135"/>
    </row>
    <row r="37" spans="1:10" ht="13.15" customHeight="1" x14ac:dyDescent="0.25">
      <c r="A37" s="27" t="s">
        <v>18</v>
      </c>
      <c r="B37" s="162"/>
      <c r="C37" s="162"/>
      <c r="D37" s="163"/>
      <c r="E37" s="89"/>
      <c r="F37" s="68"/>
      <c r="G37" s="120">
        <f>SUM(G29:G36)</f>
        <v>245.40953400000001</v>
      </c>
      <c r="H37" s="120">
        <f>SUM(H29:H36)</f>
        <v>4.9081906800000005E-2</v>
      </c>
      <c r="I37" s="121">
        <f>SUM(I29:I36)</f>
        <v>122704.76699999999</v>
      </c>
      <c r="J37" s="10"/>
    </row>
    <row r="38" spans="1:10" ht="13.15" customHeight="1" x14ac:dyDescent="0.25">
      <c r="A38" s="22" t="s">
        <v>2</v>
      </c>
      <c r="B38" s="53"/>
      <c r="C38" s="53"/>
      <c r="D38" s="43"/>
      <c r="E38" s="85"/>
      <c r="F38" s="68"/>
      <c r="G38" s="53"/>
      <c r="H38" s="53"/>
      <c r="I38" s="53"/>
      <c r="J38" s="8"/>
    </row>
    <row r="39" spans="1:10" ht="13.15" customHeight="1" x14ac:dyDescent="0.25">
      <c r="A39" s="9" t="s">
        <v>53</v>
      </c>
      <c r="B39" s="115" t="s">
        <v>33</v>
      </c>
      <c r="C39" s="52"/>
      <c r="D39" s="132">
        <v>4738</v>
      </c>
      <c r="E39" s="88"/>
      <c r="F39" s="73"/>
      <c r="G39" s="68">
        <f t="shared" ref="G39:G47" si="4">D39/$B$8</f>
        <v>9.4760000000000009</v>
      </c>
      <c r="H39" s="103">
        <f t="shared" ref="H39:H47" si="5">G39/$B$5</f>
        <v>1.8952000000000001E-3</v>
      </c>
      <c r="I39" s="53">
        <f>G39*$B$8</f>
        <v>4738</v>
      </c>
      <c r="J39" s="131"/>
    </row>
    <row r="40" spans="1:10" ht="13.15" customHeight="1" x14ac:dyDescent="0.25">
      <c r="A40" s="9" t="s">
        <v>54</v>
      </c>
      <c r="B40" s="115" t="s">
        <v>33</v>
      </c>
      <c r="C40" s="52"/>
      <c r="D40" s="132">
        <v>6753</v>
      </c>
      <c r="E40" s="88"/>
      <c r="F40" s="73"/>
      <c r="G40" s="68">
        <f t="shared" si="4"/>
        <v>13.506</v>
      </c>
      <c r="H40" s="103">
        <f t="shared" si="5"/>
        <v>2.7012E-3</v>
      </c>
      <c r="I40" s="53">
        <f t="shared" ref="I40:I57" si="6">G40*$B$8</f>
        <v>6753</v>
      </c>
      <c r="J40" s="136"/>
    </row>
    <row r="41" spans="1:10" ht="13.15" customHeight="1" x14ac:dyDescent="0.25">
      <c r="A41" s="9" t="s">
        <v>55</v>
      </c>
      <c r="B41" s="115" t="s">
        <v>33</v>
      </c>
      <c r="C41" s="52"/>
      <c r="D41" s="132">
        <v>2056</v>
      </c>
      <c r="E41" s="88"/>
      <c r="F41" s="73"/>
      <c r="G41" s="68">
        <f t="shared" si="4"/>
        <v>4.1120000000000001</v>
      </c>
      <c r="H41" s="103">
        <f t="shared" si="5"/>
        <v>8.2240000000000004E-4</v>
      </c>
      <c r="I41" s="53">
        <f t="shared" si="6"/>
        <v>2056</v>
      </c>
      <c r="J41" s="136"/>
    </row>
    <row r="42" spans="1:10" ht="13.15" customHeight="1" x14ac:dyDescent="0.25">
      <c r="A42" s="9" t="s">
        <v>56</v>
      </c>
      <c r="B42" s="115" t="s">
        <v>33</v>
      </c>
      <c r="C42" s="52"/>
      <c r="D42" s="132">
        <v>595</v>
      </c>
      <c r="E42" s="88"/>
      <c r="F42" s="73"/>
      <c r="G42" s="68">
        <f t="shared" si="4"/>
        <v>1.19</v>
      </c>
      <c r="H42" s="103">
        <f t="shared" si="5"/>
        <v>2.3799999999999998E-4</v>
      </c>
      <c r="I42" s="53">
        <f t="shared" si="6"/>
        <v>595</v>
      </c>
      <c r="J42" s="136"/>
    </row>
    <row r="43" spans="1:10" ht="13.15" customHeight="1" x14ac:dyDescent="0.25">
      <c r="A43" s="9" t="s">
        <v>57</v>
      </c>
      <c r="B43" s="115" t="s">
        <v>33</v>
      </c>
      <c r="C43" s="52"/>
      <c r="D43" s="132">
        <v>20</v>
      </c>
      <c r="E43" s="88"/>
      <c r="F43" s="73"/>
      <c r="G43" s="68">
        <f t="shared" si="4"/>
        <v>0.04</v>
      </c>
      <c r="H43" s="110">
        <f t="shared" si="5"/>
        <v>7.9999999999999996E-6</v>
      </c>
      <c r="I43" s="53">
        <f t="shared" si="6"/>
        <v>20</v>
      </c>
      <c r="J43" s="136"/>
    </row>
    <row r="44" spans="1:10" ht="13.15" customHeight="1" x14ac:dyDescent="0.25">
      <c r="A44" s="9" t="s">
        <v>118</v>
      </c>
      <c r="B44" s="115" t="s">
        <v>33</v>
      </c>
      <c r="C44" s="53"/>
      <c r="D44" s="132">
        <v>4768</v>
      </c>
      <c r="E44" s="85"/>
      <c r="F44" s="68"/>
      <c r="G44" s="108">
        <f>D44/$B$8</f>
        <v>9.5359999999999996</v>
      </c>
      <c r="H44" s="112">
        <f>G44/$B$5</f>
        <v>1.9072E-3</v>
      </c>
      <c r="I44" s="146">
        <f>G44*$B$8</f>
        <v>4768</v>
      </c>
      <c r="J44" s="136"/>
    </row>
    <row r="45" spans="1:10" ht="13.15" customHeight="1" x14ac:dyDescent="0.25">
      <c r="A45" s="9" t="s">
        <v>58</v>
      </c>
      <c r="B45" s="115" t="s">
        <v>33</v>
      </c>
      <c r="C45" s="52"/>
      <c r="D45" s="132">
        <v>1698</v>
      </c>
      <c r="E45" s="88"/>
      <c r="F45" s="73"/>
      <c r="G45" s="68">
        <f t="shared" si="4"/>
        <v>3.3959999999999999</v>
      </c>
      <c r="H45" s="103">
        <f t="shared" si="5"/>
        <v>6.7920000000000003E-4</v>
      </c>
      <c r="I45" s="53">
        <f t="shared" si="6"/>
        <v>1698</v>
      </c>
      <c r="J45" s="136"/>
    </row>
    <row r="46" spans="1:10" ht="13.15" customHeight="1" x14ac:dyDescent="0.25">
      <c r="A46" s="9" t="s">
        <v>59</v>
      </c>
      <c r="B46" s="115" t="s">
        <v>33</v>
      </c>
      <c r="C46" s="52"/>
      <c r="D46" s="132">
        <v>97</v>
      </c>
      <c r="E46" s="88"/>
      <c r="F46" s="73"/>
      <c r="G46" s="68">
        <f t="shared" si="4"/>
        <v>0.19400000000000001</v>
      </c>
      <c r="H46" s="110">
        <f t="shared" si="5"/>
        <v>3.8800000000000001E-5</v>
      </c>
      <c r="I46" s="53">
        <f t="shared" si="6"/>
        <v>97</v>
      </c>
      <c r="J46" s="136"/>
    </row>
    <row r="47" spans="1:10" ht="13.15" customHeight="1" x14ac:dyDescent="0.25">
      <c r="A47" s="9" t="s">
        <v>114</v>
      </c>
      <c r="B47" s="115" t="s">
        <v>33</v>
      </c>
      <c r="C47" s="52"/>
      <c r="D47" s="132">
        <v>0</v>
      </c>
      <c r="E47" s="88"/>
      <c r="F47" s="73"/>
      <c r="G47" s="53">
        <f t="shared" si="4"/>
        <v>0</v>
      </c>
      <c r="H47" s="53">
        <f t="shared" si="5"/>
        <v>0</v>
      </c>
      <c r="I47" s="53">
        <f t="shared" ref="I47" si="7">G47*$B$8</f>
        <v>0</v>
      </c>
      <c r="J47" s="136"/>
    </row>
    <row r="48" spans="1:10" ht="13.15" customHeight="1" x14ac:dyDescent="0.25">
      <c r="A48" s="9" t="s">
        <v>60</v>
      </c>
      <c r="B48" s="115" t="s">
        <v>33</v>
      </c>
      <c r="C48" s="52"/>
      <c r="D48" s="132">
        <v>1292</v>
      </c>
      <c r="E48" s="88"/>
      <c r="F48" s="73"/>
      <c r="G48" s="68">
        <f t="shared" ref="G48:G49" si="8">D48/$B$8</f>
        <v>2.5840000000000001</v>
      </c>
      <c r="H48" s="103">
        <f t="shared" ref="H48:H51" si="9">G48/$B$5</f>
        <v>5.1679999999999999E-4</v>
      </c>
      <c r="I48" s="53">
        <f t="shared" si="6"/>
        <v>1292</v>
      </c>
      <c r="J48" s="136"/>
    </row>
    <row r="49" spans="1:10" ht="13.15" customHeight="1" x14ac:dyDescent="0.25">
      <c r="A49" s="9" t="s">
        <v>61</v>
      </c>
      <c r="B49" s="115" t="s">
        <v>33</v>
      </c>
      <c r="C49" s="52"/>
      <c r="D49" s="132">
        <v>839</v>
      </c>
      <c r="E49" s="88"/>
      <c r="F49" s="73"/>
      <c r="G49" s="68">
        <f t="shared" si="8"/>
        <v>1.6779999999999999</v>
      </c>
      <c r="H49" s="109">
        <f t="shared" si="9"/>
        <v>3.3559999999999997E-4</v>
      </c>
      <c r="I49" s="53">
        <f t="shared" si="6"/>
        <v>839</v>
      </c>
      <c r="J49" s="136"/>
    </row>
    <row r="50" spans="1:10" ht="13.15" customHeight="1" x14ac:dyDescent="0.25">
      <c r="A50" s="9" t="s">
        <v>119</v>
      </c>
      <c r="B50" s="115" t="s">
        <v>33</v>
      </c>
      <c r="C50" s="52"/>
      <c r="D50" s="132">
        <v>411</v>
      </c>
      <c r="E50" s="88"/>
      <c r="F50" s="73"/>
      <c r="G50" s="68">
        <f t="shared" ref="G50:G51" si="10">D50/$B$8</f>
        <v>0.82199999999999995</v>
      </c>
      <c r="H50" s="109">
        <f t="shared" si="9"/>
        <v>1.6439999999999998E-4</v>
      </c>
      <c r="I50" s="53">
        <f t="shared" si="6"/>
        <v>411</v>
      </c>
      <c r="J50" s="136"/>
    </row>
    <row r="51" spans="1:10" ht="13.15" customHeight="1" x14ac:dyDescent="0.25">
      <c r="A51" s="9" t="s">
        <v>62</v>
      </c>
      <c r="B51" s="115" t="s">
        <v>33</v>
      </c>
      <c r="C51" s="52"/>
      <c r="D51" s="132">
        <v>500</v>
      </c>
      <c r="E51" s="88"/>
      <c r="F51" s="73"/>
      <c r="G51" s="68">
        <f t="shared" si="10"/>
        <v>1</v>
      </c>
      <c r="H51" s="109">
        <f t="shared" si="9"/>
        <v>2.0000000000000001E-4</v>
      </c>
      <c r="I51" s="53">
        <f t="shared" si="6"/>
        <v>500</v>
      </c>
      <c r="J51" s="136"/>
    </row>
    <row r="52" spans="1:10" ht="13.15" customHeight="1" x14ac:dyDescent="0.25">
      <c r="A52" s="9" t="s">
        <v>109</v>
      </c>
      <c r="B52" s="115">
        <f>$B$5</f>
        <v>5000</v>
      </c>
      <c r="C52" s="52"/>
      <c r="D52" s="145">
        <v>7.4999999999999997E-3</v>
      </c>
      <c r="E52" s="88"/>
      <c r="F52" s="73"/>
      <c r="G52" s="68">
        <f>B52*D52</f>
        <v>37.5</v>
      </c>
      <c r="H52" s="103">
        <f>G52/$B$5</f>
        <v>7.4999999999999997E-3</v>
      </c>
      <c r="I52" s="53">
        <f>G52*$B$8</f>
        <v>18750</v>
      </c>
      <c r="J52" s="136"/>
    </row>
    <row r="53" spans="1:10" ht="13.15" customHeight="1" x14ac:dyDescent="0.25">
      <c r="A53" s="9" t="s">
        <v>110</v>
      </c>
      <c r="B53" s="115">
        <f>$B$5</f>
        <v>5000</v>
      </c>
      <c r="C53" s="52"/>
      <c r="D53" s="132">
        <v>0</v>
      </c>
      <c r="E53" s="88"/>
      <c r="F53" s="73"/>
      <c r="G53" s="53">
        <f>B53*D53</f>
        <v>0</v>
      </c>
      <c r="H53" s="53">
        <f t="shared" ref="H53" si="11">G53/$B$5</f>
        <v>0</v>
      </c>
      <c r="I53" s="53">
        <f>G53*$B$8</f>
        <v>0</v>
      </c>
      <c r="J53" s="136"/>
    </row>
    <row r="54" spans="1:10" ht="13.15" customHeight="1" x14ac:dyDescent="0.25">
      <c r="A54" s="9" t="s">
        <v>117</v>
      </c>
      <c r="B54" s="115" t="s">
        <v>33</v>
      </c>
      <c r="C54" s="52"/>
      <c r="D54" s="132">
        <v>0</v>
      </c>
      <c r="E54" s="88"/>
      <c r="F54" s="73"/>
      <c r="G54" s="53">
        <f>D54/$B$8</f>
        <v>0</v>
      </c>
      <c r="H54" s="53">
        <f>G54/$B$5</f>
        <v>0</v>
      </c>
      <c r="I54" s="53">
        <f t="shared" ref="I54" si="12">G54*$B$8</f>
        <v>0</v>
      </c>
      <c r="J54" s="136"/>
    </row>
    <row r="55" spans="1:10" ht="13.15" customHeight="1" x14ac:dyDescent="0.25">
      <c r="A55" s="9" t="s">
        <v>64</v>
      </c>
      <c r="B55" s="115" t="s">
        <v>33</v>
      </c>
      <c r="C55" s="52"/>
      <c r="D55" s="132">
        <v>728</v>
      </c>
      <c r="E55" s="88"/>
      <c r="F55" s="73"/>
      <c r="G55" s="68">
        <f>D55/$B$8</f>
        <v>1.456</v>
      </c>
      <c r="H55" s="109">
        <f>G55/$B$5</f>
        <v>2.9119999999999998E-4</v>
      </c>
      <c r="I55" s="53">
        <f>G55*$B$8</f>
        <v>728</v>
      </c>
      <c r="J55" s="136"/>
    </row>
    <row r="56" spans="1:10" ht="13.15" customHeight="1" x14ac:dyDescent="0.25">
      <c r="A56" s="9" t="s">
        <v>63</v>
      </c>
      <c r="B56" s="115" t="s">
        <v>33</v>
      </c>
      <c r="C56" s="52"/>
      <c r="D56" s="132">
        <v>2070</v>
      </c>
      <c r="E56" s="88"/>
      <c r="F56" s="73"/>
      <c r="G56" s="68">
        <f>D56/$B$8</f>
        <v>4.1399999999999997</v>
      </c>
      <c r="H56" s="109">
        <f>G56/$B$5</f>
        <v>8.2799999999999996E-4</v>
      </c>
      <c r="I56" s="53">
        <f t="shared" si="6"/>
        <v>2070</v>
      </c>
      <c r="J56" s="136"/>
    </row>
    <row r="57" spans="1:10" ht="13.15" customHeight="1" x14ac:dyDescent="0.25">
      <c r="A57" s="9" t="s">
        <v>65</v>
      </c>
      <c r="B57" s="115" t="s">
        <v>33</v>
      </c>
      <c r="C57" s="52"/>
      <c r="D57" s="132">
        <v>600</v>
      </c>
      <c r="E57" s="88"/>
      <c r="F57" s="73"/>
      <c r="G57" s="108">
        <f t="shared" ref="G57" si="13">D57/$B$8</f>
        <v>1.2</v>
      </c>
      <c r="H57" s="154">
        <f t="shared" ref="H57" si="14">G57/$B$5</f>
        <v>2.3999999999999998E-4</v>
      </c>
      <c r="I57" s="53">
        <f t="shared" si="6"/>
        <v>600</v>
      </c>
      <c r="J57" s="136"/>
    </row>
    <row r="58" spans="1:10" ht="13.15" customHeight="1" x14ac:dyDescent="0.25">
      <c r="A58" s="147" t="s">
        <v>111</v>
      </c>
      <c r="B58" s="127">
        <v>0</v>
      </c>
      <c r="C58" s="52"/>
      <c r="D58" s="129">
        <v>0</v>
      </c>
      <c r="E58" s="88"/>
      <c r="F58" s="106" t="s">
        <v>29</v>
      </c>
      <c r="G58" s="66">
        <f>(B58*D58)/$B$8</f>
        <v>0</v>
      </c>
      <c r="H58" s="148">
        <f>G58/$B$5</f>
        <v>0</v>
      </c>
      <c r="I58" s="119">
        <f>G58*$B$8</f>
        <v>0</v>
      </c>
      <c r="J58" s="135"/>
    </row>
    <row r="59" spans="1:10" ht="13.15" customHeight="1" x14ac:dyDescent="0.25">
      <c r="A59" s="27" t="s">
        <v>18</v>
      </c>
      <c r="B59" s="162"/>
      <c r="C59" s="162"/>
      <c r="D59" s="163"/>
      <c r="E59" s="89"/>
      <c r="F59" s="68"/>
      <c r="G59" s="120">
        <f>SUM(G39:G58)</f>
        <v>91.830000000000013</v>
      </c>
      <c r="H59" s="120">
        <f>SUM(H39:H58)</f>
        <v>1.8366E-2</v>
      </c>
      <c r="I59" s="121">
        <f>SUM(I39:I58)</f>
        <v>45915</v>
      </c>
      <c r="J59" s="8"/>
    </row>
    <row r="60" spans="1:10" ht="13.15" customHeight="1" thickBot="1" x14ac:dyDescent="0.3">
      <c r="A60" s="40" t="s">
        <v>3</v>
      </c>
      <c r="B60" s="54"/>
      <c r="C60" s="54"/>
      <c r="D60" s="55"/>
      <c r="E60" s="90"/>
      <c r="F60" s="55"/>
      <c r="G60" s="56">
        <f>G26+G37+G59</f>
        <v>1687.3013723466665</v>
      </c>
      <c r="H60" s="56">
        <f>H26+H37+H59</f>
        <v>0.33746027446933335</v>
      </c>
      <c r="I60" s="54">
        <f>I26+I37+I59</f>
        <v>843650.68617333332</v>
      </c>
      <c r="J60" s="25"/>
    </row>
    <row r="61" spans="1:10" ht="13.15" customHeight="1" thickBot="1" x14ac:dyDescent="0.3">
      <c r="A61" s="23" t="s">
        <v>12</v>
      </c>
      <c r="B61" s="55"/>
      <c r="C61" s="55"/>
      <c r="D61" s="55"/>
      <c r="E61" s="90"/>
      <c r="F61" s="55"/>
      <c r="G61" s="55"/>
      <c r="H61" s="55"/>
      <c r="I61" s="55"/>
      <c r="J61" s="55"/>
    </row>
    <row r="62" spans="1:10" ht="13.15" customHeight="1" x14ac:dyDescent="0.25">
      <c r="A62" s="9" t="s">
        <v>22</v>
      </c>
      <c r="B62" s="127">
        <v>1</v>
      </c>
      <c r="C62" s="53"/>
      <c r="D62" s="129">
        <v>301.47000000000003</v>
      </c>
      <c r="E62" s="81"/>
      <c r="F62" s="43"/>
      <c r="G62" s="68">
        <f>B62*D62</f>
        <v>301.47000000000003</v>
      </c>
      <c r="H62" s="82">
        <f>G62/$B$5</f>
        <v>6.0294000000000007E-2</v>
      </c>
      <c r="I62" s="118">
        <f>G62*$B$8</f>
        <v>150735</v>
      </c>
      <c r="J62" s="138"/>
    </row>
    <row r="63" spans="1:10" ht="13.15" customHeight="1" x14ac:dyDescent="0.25">
      <c r="A63" s="9" t="s">
        <v>23</v>
      </c>
      <c r="B63" s="127">
        <v>1</v>
      </c>
      <c r="C63" s="53"/>
      <c r="D63" s="129">
        <v>105.62</v>
      </c>
      <c r="E63" s="81"/>
      <c r="F63" s="43"/>
      <c r="G63" s="66">
        <f>B63*D63</f>
        <v>105.62</v>
      </c>
      <c r="H63" s="66">
        <f>G63/$B$5</f>
        <v>2.1124E-2</v>
      </c>
      <c r="I63" s="119">
        <f>G63*$B$8</f>
        <v>52810</v>
      </c>
      <c r="J63" s="137"/>
    </row>
    <row r="64" spans="1:10" ht="13.15" customHeight="1" x14ac:dyDescent="0.25">
      <c r="A64" s="7" t="s">
        <v>13</v>
      </c>
      <c r="B64" s="47"/>
      <c r="C64" s="47"/>
      <c r="D64" s="43"/>
      <c r="E64" s="85"/>
      <c r="F64" s="43"/>
      <c r="G64" s="48">
        <f>SUM(G62:G63)</f>
        <v>407.09000000000003</v>
      </c>
      <c r="H64" s="48">
        <f>SUM(H62:H63)</f>
        <v>8.1418000000000004E-2</v>
      </c>
      <c r="I64" s="47">
        <f>SUM(I62:I63)</f>
        <v>203545</v>
      </c>
      <c r="J64" s="8"/>
    </row>
    <row r="65" spans="1:10" ht="7.9" customHeight="1" thickBot="1" x14ac:dyDescent="0.3">
      <c r="A65" s="6"/>
      <c r="B65" s="43"/>
      <c r="C65" s="43"/>
      <c r="D65" s="43"/>
      <c r="E65" s="85"/>
      <c r="F65" s="43"/>
      <c r="G65" s="43"/>
      <c r="H65" s="43"/>
      <c r="I65" s="43"/>
      <c r="J65" s="25"/>
    </row>
    <row r="66" spans="1:10" ht="13.15" customHeight="1" thickBot="1" x14ac:dyDescent="0.3">
      <c r="A66" s="19" t="s">
        <v>24</v>
      </c>
      <c r="B66" s="57"/>
      <c r="C66" s="57"/>
      <c r="D66" s="58"/>
      <c r="E66" s="91"/>
      <c r="F66" s="58"/>
      <c r="G66" s="59">
        <f>G60+G64</f>
        <v>2094.3913723466667</v>
      </c>
      <c r="H66" s="59">
        <f>H60+H64</f>
        <v>0.41887827446933334</v>
      </c>
      <c r="I66" s="57">
        <f>I60+I64</f>
        <v>1047195.6861733333</v>
      </c>
      <c r="J66" s="25"/>
    </row>
    <row r="67" spans="1:10" ht="6" customHeight="1" x14ac:dyDescent="0.25">
      <c r="A67" s="41"/>
      <c r="B67" s="60"/>
      <c r="C67" s="60"/>
      <c r="D67" s="61"/>
      <c r="E67" s="92"/>
      <c r="F67" s="62"/>
      <c r="G67" s="60"/>
      <c r="H67" s="60"/>
      <c r="I67" s="60"/>
      <c r="J67" s="8"/>
    </row>
    <row r="68" spans="1:10" ht="30" customHeight="1" x14ac:dyDescent="0.25">
      <c r="A68" s="42"/>
      <c r="B68" s="43"/>
      <c r="C68" s="43"/>
      <c r="D68" s="64" t="s">
        <v>10</v>
      </c>
      <c r="E68" s="93"/>
      <c r="F68" s="64" t="s">
        <v>30</v>
      </c>
      <c r="G68" s="144" t="s">
        <v>107</v>
      </c>
      <c r="H68" s="144" t="s">
        <v>108</v>
      </c>
      <c r="I68" s="76" t="s">
        <v>106</v>
      </c>
      <c r="J68" s="144" t="s">
        <v>129</v>
      </c>
    </row>
    <row r="69" spans="1:10" ht="13.15" customHeight="1" x14ac:dyDescent="0.25">
      <c r="A69" s="7" t="s">
        <v>4</v>
      </c>
      <c r="B69" s="47"/>
      <c r="C69" s="47"/>
      <c r="D69" s="101">
        <f>G7</f>
        <v>3000</v>
      </c>
      <c r="E69" s="85" t="s">
        <v>33</v>
      </c>
      <c r="F69" s="101">
        <f>G60+G64</f>
        <v>2094.3913723466667</v>
      </c>
      <c r="G69" s="140">
        <f>D69-F69</f>
        <v>905.60862765333331</v>
      </c>
      <c r="H69" s="140">
        <f>G69/$B$5</f>
        <v>0.18112172553066666</v>
      </c>
      <c r="I69" s="142">
        <f>I7-I66</f>
        <v>452804.31382666668</v>
      </c>
      <c r="J69" s="140">
        <f>(G69*$B$8)/($B$76+$D$76)</f>
        <v>174.04170881603056</v>
      </c>
    </row>
    <row r="70" spans="1:10" ht="13.15" customHeight="1" thickBot="1" x14ac:dyDescent="0.3">
      <c r="A70" s="23" t="s">
        <v>5</v>
      </c>
      <c r="B70" s="54"/>
      <c r="C70" s="54"/>
      <c r="D70" s="102">
        <f>G7</f>
        <v>3000</v>
      </c>
      <c r="E70" s="90" t="s">
        <v>33</v>
      </c>
      <c r="F70" s="102">
        <f>G60</f>
        <v>1687.3013723466665</v>
      </c>
      <c r="G70" s="141">
        <f>D70-F70</f>
        <v>1312.6986276533335</v>
      </c>
      <c r="H70" s="141">
        <f>G70/$B$5</f>
        <v>0.26253972553066668</v>
      </c>
      <c r="I70" s="143">
        <f>I7-I60</f>
        <v>656349.31382666668</v>
      </c>
      <c r="J70" s="141">
        <f>(G70*$B$8)/($B$76+$D$76)</f>
        <v>252.27709337228225</v>
      </c>
    </row>
    <row r="71" spans="1:10" ht="7.9" customHeight="1" thickBot="1" x14ac:dyDescent="0.3">
      <c r="A71" s="24"/>
      <c r="B71" s="63"/>
      <c r="C71" s="63"/>
      <c r="D71" s="63"/>
      <c r="E71" s="94"/>
      <c r="F71" s="63"/>
      <c r="G71" s="63"/>
      <c r="H71" s="63"/>
      <c r="I71" s="63"/>
      <c r="J71" s="26"/>
    </row>
    <row r="72" spans="1:10" ht="13.9" customHeight="1" thickTop="1" x14ac:dyDescent="0.25">
      <c r="A72" s="7" t="s">
        <v>67</v>
      </c>
      <c r="B72" s="43"/>
      <c r="C72" s="43"/>
      <c r="D72" s="43"/>
      <c r="E72" s="85"/>
      <c r="G72" s="113" t="s">
        <v>101</v>
      </c>
      <c r="H72" s="113" t="s">
        <v>66</v>
      </c>
      <c r="I72" s="113" t="s">
        <v>11</v>
      </c>
      <c r="J72" s="8"/>
    </row>
    <row r="73" spans="1:10" ht="13.15" customHeight="1" x14ac:dyDescent="0.25">
      <c r="A73" s="9" t="s">
        <v>25</v>
      </c>
      <c r="B73" s="64"/>
      <c r="C73" s="64"/>
      <c r="D73" s="43"/>
      <c r="E73" s="85"/>
      <c r="G73" s="68">
        <f>G66</f>
        <v>2094.3913723466667</v>
      </c>
      <c r="H73" s="68">
        <f>G73/$B$5</f>
        <v>0.41887827446933334</v>
      </c>
      <c r="I73" s="53">
        <f>I66</f>
        <v>1047195.6861733333</v>
      </c>
      <c r="J73" s="131"/>
    </row>
    <row r="74" spans="1:10" ht="13.15" customHeight="1" x14ac:dyDescent="0.25">
      <c r="A74" s="9" t="s">
        <v>26</v>
      </c>
      <c r="B74" s="64"/>
      <c r="C74" s="64"/>
      <c r="D74" s="43"/>
      <c r="E74" s="85"/>
      <c r="G74" s="68">
        <f>G60</f>
        <v>1687.3013723466665</v>
      </c>
      <c r="H74" s="68">
        <f>G74/$B$5</f>
        <v>0.3374602744693333</v>
      </c>
      <c r="I74" s="53">
        <f>I60</f>
        <v>843650.68617333332</v>
      </c>
      <c r="J74" s="136"/>
    </row>
    <row r="75" spans="1:10" ht="13.15" customHeight="1" x14ac:dyDescent="0.25">
      <c r="A75" s="149" t="s">
        <v>125</v>
      </c>
      <c r="B75" s="155" t="s">
        <v>126</v>
      </c>
      <c r="C75" s="156"/>
      <c r="D75" s="155" t="s">
        <v>127</v>
      </c>
      <c r="E75" s="95"/>
      <c r="F75" s="18"/>
      <c r="G75" s="18"/>
      <c r="H75" s="18"/>
      <c r="I75" s="18"/>
      <c r="J75" s="8"/>
    </row>
    <row r="76" spans="1:10" x14ac:dyDescent="0.25">
      <c r="A76" s="157" t="s">
        <v>128</v>
      </c>
      <c r="B76" s="158">
        <v>2052.9</v>
      </c>
      <c r="C76" s="6"/>
      <c r="D76" s="158">
        <f>(361.3+187.5)</f>
        <v>548.79999999999995</v>
      </c>
      <c r="G76" s="31"/>
      <c r="H76" s="31" t="s">
        <v>15</v>
      </c>
      <c r="I76" s="31"/>
      <c r="J76" s="12"/>
    </row>
    <row r="77" spans="1:10" ht="7.9" customHeight="1" x14ac:dyDescent="0.25">
      <c r="A77" s="6"/>
      <c r="B77" s="6"/>
      <c r="C77" s="6"/>
      <c r="D77" s="6"/>
      <c r="E77" s="97"/>
      <c r="F77" s="6"/>
      <c r="G77" s="6"/>
      <c r="H77" s="6"/>
      <c r="I77" s="6"/>
      <c r="J77" s="6"/>
    </row>
    <row r="78" spans="1:10" ht="18.75" x14ac:dyDescent="0.3">
      <c r="A78" s="13" t="s">
        <v>17</v>
      </c>
      <c r="B78" s="6"/>
      <c r="C78" s="6"/>
      <c r="D78" s="6"/>
      <c r="E78" s="97"/>
      <c r="F78" s="6"/>
      <c r="G78" s="6"/>
      <c r="H78" s="6"/>
      <c r="I78" s="6"/>
      <c r="J78" s="11"/>
    </row>
    <row r="79" spans="1:10" ht="9.75" customHeight="1" x14ac:dyDescent="0.3">
      <c r="A79" s="13"/>
      <c r="B79" s="6"/>
      <c r="C79" s="6"/>
      <c r="D79" s="6"/>
      <c r="E79" s="97"/>
      <c r="F79" s="6"/>
      <c r="G79" s="6"/>
      <c r="H79" s="6"/>
      <c r="I79" s="6"/>
      <c r="J79" s="11"/>
    </row>
    <row r="80" spans="1:10" x14ac:dyDescent="0.25">
      <c r="A80" s="14" t="s">
        <v>20</v>
      </c>
      <c r="B80" s="6"/>
      <c r="C80" s="6"/>
      <c r="D80" s="6"/>
      <c r="E80" s="97"/>
      <c r="F80" s="6"/>
      <c r="G80" s="6"/>
      <c r="H80" s="6"/>
      <c r="I80" s="6"/>
      <c r="J80" s="11"/>
    </row>
    <row r="81" spans="1:10" ht="46.9" customHeight="1" x14ac:dyDescent="0.25">
      <c r="A81" s="173" t="s">
        <v>73</v>
      </c>
      <c r="B81" s="174"/>
      <c r="C81" s="174"/>
      <c r="D81" s="174"/>
      <c r="E81" s="174"/>
      <c r="F81" s="174"/>
      <c r="G81" s="174"/>
      <c r="H81" s="174"/>
      <c r="I81" s="174"/>
      <c r="J81" s="174"/>
    </row>
    <row r="82" spans="1:10" ht="57.75" customHeight="1" x14ac:dyDescent="0.25">
      <c r="A82" s="175" t="s">
        <v>74</v>
      </c>
      <c r="B82" s="172"/>
      <c r="C82" s="172"/>
      <c r="D82" s="172"/>
      <c r="E82" s="172"/>
      <c r="F82" s="172"/>
      <c r="G82" s="172"/>
      <c r="H82" s="172"/>
      <c r="I82" s="172"/>
      <c r="J82" s="172"/>
    </row>
    <row r="83" spans="1:10" s="1" customFormat="1" ht="19.899999999999999" customHeight="1" x14ac:dyDescent="0.25">
      <c r="A83" s="33" t="s">
        <v>19</v>
      </c>
      <c r="B83" s="6"/>
      <c r="C83" s="6"/>
      <c r="D83" s="6"/>
      <c r="E83" s="97"/>
      <c r="F83" s="6"/>
      <c r="G83" s="6"/>
      <c r="H83" s="6"/>
      <c r="I83" s="6"/>
      <c r="J83" s="11"/>
    </row>
    <row r="84" spans="1:10" ht="16.899999999999999" customHeight="1" x14ac:dyDescent="0.25">
      <c r="A84" s="170" t="s">
        <v>75</v>
      </c>
      <c r="B84" s="171"/>
      <c r="C84" s="171"/>
      <c r="D84" s="171"/>
      <c r="E84" s="171"/>
      <c r="F84" s="171"/>
      <c r="G84" s="171"/>
      <c r="H84" s="171"/>
      <c r="I84" s="171"/>
      <c r="J84" s="171"/>
    </row>
    <row r="85" spans="1:10" ht="16.149999999999999" customHeight="1" x14ac:dyDescent="0.25">
      <c r="A85" s="170" t="s">
        <v>68</v>
      </c>
      <c r="B85" s="171"/>
      <c r="C85" s="171"/>
      <c r="D85" s="171"/>
      <c r="E85" s="171"/>
      <c r="F85" s="171"/>
      <c r="G85" s="171"/>
      <c r="H85" s="171"/>
      <c r="I85" s="171"/>
      <c r="J85" s="171"/>
    </row>
    <row r="86" spans="1:10" ht="15" customHeight="1" x14ac:dyDescent="0.25">
      <c r="A86" s="176" t="s">
        <v>69</v>
      </c>
      <c r="B86" s="177"/>
      <c r="C86" s="177"/>
      <c r="D86" s="177"/>
      <c r="E86" s="177"/>
      <c r="F86" s="177"/>
      <c r="G86" s="177"/>
      <c r="H86" s="177"/>
      <c r="I86" s="177"/>
      <c r="J86" s="177"/>
    </row>
    <row r="87" spans="1:10" ht="13.9" customHeight="1" x14ac:dyDescent="0.25">
      <c r="A87" s="45" t="s">
        <v>70</v>
      </c>
      <c r="B87" s="6"/>
      <c r="C87" s="6"/>
      <c r="D87" s="6"/>
      <c r="E87" s="97"/>
      <c r="F87" s="6"/>
      <c r="G87" s="122" t="s">
        <v>95</v>
      </c>
      <c r="H87" s="159">
        <f>I36</f>
        <v>41235</v>
      </c>
      <c r="I87" s="45" t="s">
        <v>112</v>
      </c>
      <c r="J87" s="11"/>
    </row>
    <row r="88" spans="1:10" ht="13.5" customHeight="1" x14ac:dyDescent="0.25">
      <c r="A88" s="71"/>
      <c r="B88" s="72"/>
      <c r="C88" s="78"/>
      <c r="D88" s="72"/>
      <c r="E88" s="98"/>
      <c r="F88" s="72"/>
      <c r="G88" s="122" t="s">
        <v>124</v>
      </c>
      <c r="H88" s="159">
        <f>I35</f>
        <v>1132</v>
      </c>
      <c r="I88" s="45" t="s">
        <v>112</v>
      </c>
      <c r="J88" s="72"/>
    </row>
    <row r="89" spans="1:10" ht="13.5" customHeight="1" x14ac:dyDescent="0.25">
      <c r="A89" s="71"/>
      <c r="B89" s="160"/>
      <c r="C89" s="160"/>
      <c r="D89" s="160"/>
      <c r="E89" s="98"/>
      <c r="F89" s="160"/>
      <c r="G89" s="122"/>
      <c r="H89" s="159"/>
      <c r="I89" s="45"/>
      <c r="J89" s="160"/>
    </row>
    <row r="90" spans="1:10" ht="13.5" customHeight="1" x14ac:dyDescent="0.25">
      <c r="A90" s="71"/>
      <c r="B90" s="160"/>
      <c r="C90" s="160"/>
      <c r="D90" s="160"/>
      <c r="E90" s="98"/>
      <c r="F90" s="160"/>
      <c r="G90" s="122" t="s">
        <v>131</v>
      </c>
      <c r="H90" s="161">
        <v>2</v>
      </c>
      <c r="I90" s="45" t="s">
        <v>132</v>
      </c>
      <c r="J90" s="160"/>
    </row>
    <row r="91" spans="1:10" ht="15" customHeight="1" x14ac:dyDescent="0.25">
      <c r="A91" s="170" t="s">
        <v>76</v>
      </c>
      <c r="B91" s="171"/>
      <c r="C91" s="171"/>
      <c r="D91" s="171"/>
      <c r="E91" s="171"/>
      <c r="F91" s="171"/>
      <c r="G91" s="171"/>
      <c r="J91" s="72"/>
    </row>
    <row r="92" spans="1:10" s="70" customFormat="1" ht="39" customHeight="1" x14ac:dyDescent="0.25">
      <c r="A92" s="32" t="s">
        <v>7</v>
      </c>
      <c r="B92" s="65" t="str">
        <f>CONCATENATE("Cost/acre for Labor @ $",D33,"/hour")</f>
        <v>Cost/acre for Labor @ $16.63/hour</v>
      </c>
      <c r="C92" s="65"/>
      <c r="D92" s="65" t="str">
        <f>CONCATENATE("Cost/acre for Diesel Fuel @ $",D34,"/gallon &amp; Oil")</f>
        <v>Cost/acre for Diesel Fuel @ $4.82/gallon &amp; Oil</v>
      </c>
      <c r="E92" s="99"/>
      <c r="F92" s="65" t="s">
        <v>91</v>
      </c>
      <c r="G92" s="65" t="s">
        <v>92</v>
      </c>
      <c r="H92" s="65" t="s">
        <v>98</v>
      </c>
      <c r="I92" s="123" t="s">
        <v>8</v>
      </c>
      <c r="J92" s="36" t="s">
        <v>44</v>
      </c>
    </row>
    <row r="93" spans="1:10" ht="12.75" customHeight="1" x14ac:dyDescent="0.25">
      <c r="A93" s="116" t="s">
        <v>79</v>
      </c>
      <c r="B93" s="68"/>
      <c r="C93" s="68"/>
      <c r="D93" s="68"/>
      <c r="E93" s="81"/>
      <c r="F93" s="68"/>
      <c r="G93" s="68"/>
      <c r="H93" s="68"/>
      <c r="I93" s="68"/>
      <c r="J93" s="8"/>
    </row>
    <row r="94" spans="1:10" ht="12.75" customHeight="1" x14ac:dyDescent="0.25">
      <c r="A94" s="15" t="s">
        <v>81</v>
      </c>
      <c r="B94" s="81">
        <f>IF(B22=0,0,((1+25+1+1)/500)*$D$33)</f>
        <v>0.93128</v>
      </c>
      <c r="C94" s="68"/>
      <c r="D94" s="81">
        <f>IF(B22=0,0,(((0.1+16.88+0.1+0.1)/500)*$D$34)+(($H$88*(G94/$G$114))/$B$8))</f>
        <v>0.32286181085568222</v>
      </c>
      <c r="E94" s="81"/>
      <c r="F94" s="81">
        <f>IF(B22=0,0,($H$87*(G94/$G$114))/$B$8)</f>
        <v>5.727971730242098</v>
      </c>
      <c r="G94" s="81">
        <f>IF(B22=0,0,(19.62+2.32+8.84+(2*0.055)+0.02+(4*0.02)+0.8))</f>
        <v>31.79</v>
      </c>
      <c r="H94" s="68">
        <f>IF(B22=0,0,43.6*(G22/43.6))</f>
        <v>43.6</v>
      </c>
      <c r="I94" s="48">
        <f>SUM(B94:H94)</f>
        <v>82.372113541097775</v>
      </c>
      <c r="J94" s="131"/>
    </row>
    <row r="95" spans="1:10" ht="12.75" customHeight="1" x14ac:dyDescent="0.25">
      <c r="A95" s="15" t="s">
        <v>82</v>
      </c>
      <c r="B95" s="81">
        <f>((6.67+1+225+1+1+6.67)/500)*$D$33</f>
        <v>8.0269683999999994</v>
      </c>
      <c r="C95" s="68"/>
      <c r="D95" s="81">
        <f>(((0.1+45+0.1+0.1)/500)*$D$34)+(($H$88*(G95/$G$114))/$B$8)</f>
        <v>0.65047616235239336</v>
      </c>
      <c r="E95" s="81"/>
      <c r="F95" s="81">
        <f t="shared" ref="F95:F96" si="15">($H$87*(G95/$G$114))/$B$8</f>
        <v>7.7874469386934093</v>
      </c>
      <c r="G95" s="81">
        <f>(19.62+0.3+3.13+0.61+9.71+6.88+2.97)</f>
        <v>43.220000000000006</v>
      </c>
      <c r="H95" s="88">
        <v>0</v>
      </c>
      <c r="I95" s="48">
        <f t="shared" ref="I95:I113" si="16">SUM(B95:H95)</f>
        <v>59.684891501045811</v>
      </c>
      <c r="J95" s="131"/>
    </row>
    <row r="96" spans="1:10" ht="12.75" customHeight="1" x14ac:dyDescent="0.25">
      <c r="A96" s="15" t="s">
        <v>83</v>
      </c>
      <c r="B96" s="81">
        <f>((1+33.33+33.33+1+1)/500)*$D$33</f>
        <v>2.3168915999999999</v>
      </c>
      <c r="C96" s="68"/>
      <c r="D96" s="81">
        <f>(((1+150+33.33+1+1)/500)*$D$34)+(($H$88*(G96/$G$114))/$B$8)</f>
        <v>1.9065263092193052</v>
      </c>
      <c r="E96" s="81"/>
      <c r="F96" s="81">
        <f t="shared" si="15"/>
        <v>4.0180487443975705</v>
      </c>
      <c r="G96" s="81">
        <f>(8.31+3.6+0.12+0.42+6.88+2.97)</f>
        <v>22.299999999999997</v>
      </c>
      <c r="H96" s="88">
        <v>0</v>
      </c>
      <c r="I96" s="48">
        <f>SUM(B96:H96)</f>
        <v>30.541466653616872</v>
      </c>
      <c r="J96" s="131"/>
    </row>
    <row r="97" spans="1:10" ht="12.75" customHeight="1" x14ac:dyDescent="0.25">
      <c r="A97" s="15" t="s">
        <v>84</v>
      </c>
      <c r="B97" s="81">
        <f>IF(D11=0,0,((1+16.67+1+1)/500)*$D$33)</f>
        <v>0.65422419999999992</v>
      </c>
      <c r="C97" s="68"/>
      <c r="D97" s="81">
        <f>IF(D11=0,0,(((1+16.7+1+1)/500)*$D$34)+(($H$88*(G97/$G$114))/$B$8))</f>
        <v>0.28844063567930761</v>
      </c>
      <c r="E97" s="81"/>
      <c r="F97" s="81">
        <f>IF(D11=0,0,($H$87*(G97/$G$114))/$B$8)</f>
        <v>3.5892166362511042</v>
      </c>
      <c r="G97" s="81">
        <f>IF(D11=0,0,(19.62+0.3))</f>
        <v>19.920000000000002</v>
      </c>
      <c r="H97" s="68">
        <f>IF(D11=0,0,(115.22+95.72)*(G11/234.88))</f>
        <v>210.93820384877381</v>
      </c>
      <c r="I97" s="48">
        <f t="shared" si="16"/>
        <v>235.39008532070423</v>
      </c>
      <c r="J97" s="131"/>
    </row>
    <row r="98" spans="1:10" ht="12.75" customHeight="1" x14ac:dyDescent="0.25">
      <c r="A98" s="15" t="s">
        <v>85</v>
      </c>
      <c r="B98" s="81">
        <f>IF(B20=0,0,((1+15.68+1+1)/500)*$D$33)</f>
        <v>0.62129679999999987</v>
      </c>
      <c r="C98" s="68"/>
      <c r="D98" s="81">
        <f>IF(B20=0,0,(((1+16.7+1+1)/500)*$D$34)+(($H$88*(G98/$G$114))/$B$8))</f>
        <v>0.28844063567930761</v>
      </c>
      <c r="E98" s="81"/>
      <c r="F98" s="81">
        <f>IF(B20=0,0,($H$87*(G98/$G$114))/$B$8)</f>
        <v>3.5892166362511042</v>
      </c>
      <c r="G98" s="81">
        <f>IF(B20=0,0,(19.62+0.3))</f>
        <v>19.920000000000002</v>
      </c>
      <c r="H98" s="68">
        <f>IF(B20=0,0,6.16*(G20/6.16))</f>
        <v>6.1573183466666661</v>
      </c>
      <c r="I98" s="48">
        <f t="shared" si="16"/>
        <v>30.576272418597082</v>
      </c>
      <c r="J98" s="131"/>
    </row>
    <row r="99" spans="1:10" ht="12.75" customHeight="1" x14ac:dyDescent="0.25">
      <c r="A99" s="15" t="s">
        <v>102</v>
      </c>
      <c r="B99" s="81">
        <f>IF(D14=0,0,((1+125+1+1)/500)*$D$33)</f>
        <v>4.2572799999999997</v>
      </c>
      <c r="C99" s="68"/>
      <c r="D99" s="81">
        <f>IF(D14=0,0,(((1+125+1+1)/500)*$D$34)+(($H$88*(G99/$G$114))/$B$8))</f>
        <v>1.3740520063666735</v>
      </c>
      <c r="E99" s="81"/>
      <c r="F99" s="81">
        <f>IF(D14=0,0,($H$87*(G99/$G$114))/$B$8)</f>
        <v>5.1045435358036864</v>
      </c>
      <c r="G99" s="81">
        <f>IF(D14=0,0,(19.62+7.98+(60*0.000833333)+(2*0.095)+(2*0.005)+0.48))</f>
        <v>28.329999980000004</v>
      </c>
      <c r="H99" s="68">
        <f>IF(D14=0,0,(38.62+21.31+9.91+95.71+0.13+7.08)*(G14/172.76))</f>
        <v>172.762</v>
      </c>
      <c r="I99" s="48">
        <f t="shared" si="16"/>
        <v>211.82787552217036</v>
      </c>
      <c r="J99" s="131"/>
    </row>
    <row r="100" spans="1:10" ht="12.75" customHeight="1" x14ac:dyDescent="0.25">
      <c r="A100" s="15" t="s">
        <v>104</v>
      </c>
      <c r="B100" s="81">
        <f>IF(D15=0,0,((1+125+1+1)/500)*$D$33)</f>
        <v>4.2572799999999997</v>
      </c>
      <c r="C100" s="68"/>
      <c r="D100" s="81">
        <f>IF(D15=0,0,(((1+125+1+1)/500)*$D$34)+(($H$88*(G100/$G$114))/$B$8))</f>
        <v>1.3889407229025528</v>
      </c>
      <c r="E100" s="81"/>
      <c r="F100" s="81">
        <f>IF(D15=0,0,($H$87*(G100/$G$114))/$B$8)</f>
        <v>5.6468900255183367</v>
      </c>
      <c r="G100" s="81">
        <f>IF(D15=0,0,(19.62+7.98+3.01+(60*0.000833333)+(2*0.095)+(2*0.005)+0.48))</f>
        <v>31.339999980000002</v>
      </c>
      <c r="H100" s="68">
        <f>IF(D15=0,0,(8.1+4.56+12.56+2.93+9.84)*(G15/29.7))</f>
        <v>37.992558249158243</v>
      </c>
      <c r="I100" s="48">
        <f t="shared" ref="I100" si="17">SUM(B100:H100)</f>
        <v>80.625668977579124</v>
      </c>
      <c r="J100" s="131"/>
    </row>
    <row r="101" spans="1:10" ht="12.75" customHeight="1" x14ac:dyDescent="0.25">
      <c r="A101" s="15" t="s">
        <v>103</v>
      </c>
      <c r="B101" s="81">
        <f>IF(D16=0,0,((1+16.67+16.67)/500)*$D$33)</f>
        <v>1.1421484</v>
      </c>
      <c r="C101" s="68"/>
      <c r="D101" s="81">
        <f>IF(D16=0,0,(((0.7+0+0)/500)*$D$34)+(($H$88*(G101/$G$114))/$B$8))</f>
        <v>2.025171946085691E-2</v>
      </c>
      <c r="E101" s="81"/>
      <c r="F101" s="81">
        <f>IF(D16=0,0,($H$87*(G101/$G$114))/$B$8)</f>
        <v>0.49189564661522495</v>
      </c>
      <c r="G101" s="81">
        <f>IF(D16=0,0,((2*0.23)+(6*(0.006666667+0.00833333+0.00333333))+(12*0.005)+0.27+(4*(0.0575+0.4))))</f>
        <v>2.7299999619999999</v>
      </c>
      <c r="H101" s="68">
        <f>IF(D16=0,0,(6.47+0.2+0.02)*(G16/6.69))</f>
        <v>6.6879999999999988</v>
      </c>
      <c r="I101" s="48">
        <f t="shared" si="16"/>
        <v>11.072295728076082</v>
      </c>
      <c r="J101" s="131"/>
    </row>
    <row r="102" spans="1:10" ht="12.75" customHeight="1" x14ac:dyDescent="0.25">
      <c r="A102" s="116" t="s">
        <v>80</v>
      </c>
      <c r="B102" s="68"/>
      <c r="C102" s="68"/>
      <c r="D102" s="68"/>
      <c r="E102" s="81"/>
      <c r="F102" s="68"/>
      <c r="G102" s="68"/>
      <c r="H102" s="68"/>
      <c r="I102" s="68"/>
      <c r="J102" s="8"/>
    </row>
    <row r="103" spans="1:10" ht="12.75" customHeight="1" x14ac:dyDescent="0.25">
      <c r="A103" s="15" t="str">
        <f>CONCATENATE("   Spray ",H90,"× (Fungicide)")</f>
        <v xml:space="preserve">   Spray 2× (Fungicide)</v>
      </c>
      <c r="B103" s="81">
        <f>IF(D13=0,0,((1+(H90*125)+1+1)/500)*$D$33)</f>
        <v>8.4147800000000004</v>
      </c>
      <c r="C103" s="81"/>
      <c r="D103" s="81">
        <f>IF(D13=0,0,(((1+(H90*125)+1+1)/500)*$D$34)+(($H$88*(G103/$G$114))/$B$8))</f>
        <v>2.5544683116213842</v>
      </c>
      <c r="E103" s="81"/>
      <c r="F103" s="124">
        <f>IF(D13=0,0,($H$87*(G103/$G$114))/$B$8)</f>
        <v>4.2090411923213589</v>
      </c>
      <c r="G103" s="81">
        <f>IF(D13=0,0,(19.62+3.01+(60*0.000833333)+(2*0.095)+(2*0.005)+0.48))</f>
        <v>23.359999980000005</v>
      </c>
      <c r="H103" s="108">
        <f>IF(D13=0,0,(H90*(5.24+0.065))*(G13/20.45))</f>
        <v>10.612075305623474</v>
      </c>
      <c r="I103" s="62">
        <f t="shared" si="16"/>
        <v>49.150364789566225</v>
      </c>
      <c r="J103" s="131"/>
    </row>
    <row r="104" spans="1:10" ht="12.75" customHeight="1" x14ac:dyDescent="0.25">
      <c r="A104" s="15" t="s">
        <v>84</v>
      </c>
      <c r="B104" s="81">
        <f>IF(D11=0,0,((0.5+8.33+0.5+0.5)/500)*$D$33)</f>
        <v>0.32694580000000001</v>
      </c>
      <c r="C104" s="68"/>
      <c r="D104" s="81">
        <f>IF(D11=0,0,(((1+16.7+1+1)/500)*$D$34)+(($H$88*(G104/$G$114))/$B$8))</f>
        <v>0.28844063567930761</v>
      </c>
      <c r="E104" s="81"/>
      <c r="F104" s="124">
        <f>IF(D11=0,0,($H$87*(G104/$G$114))/$B$8)</f>
        <v>3.5892166362511042</v>
      </c>
      <c r="G104" s="81">
        <f>IF(D11=0,0,(19.62+0.3))</f>
        <v>19.920000000000002</v>
      </c>
      <c r="H104" s="68">
        <f>IF(D11=0,0,(23.93)*(G11/234.88))</f>
        <v>23.929796236376021</v>
      </c>
      <c r="I104" s="62">
        <f t="shared" si="16"/>
        <v>48.054399308306429</v>
      </c>
      <c r="J104" s="131"/>
    </row>
    <row r="105" spans="1:10" ht="12.75" customHeight="1" x14ac:dyDescent="0.25">
      <c r="A105" s="15" t="s">
        <v>130</v>
      </c>
      <c r="B105" s="81">
        <f>IF(B19=0,0,(11/500)*$D$33)</f>
        <v>0.36585999999999996</v>
      </c>
      <c r="C105" s="68"/>
      <c r="D105" s="81">
        <f>IF(B19=0,0,((1.3/500)*$D$34)+(($H$88*(G105/$G$114))/$B$8))</f>
        <v>5.7668059265747085E-2</v>
      </c>
      <c r="E105" s="81"/>
      <c r="F105" s="124">
        <f>IF(B19=0,0,($H$87*(G105/$G$114))/$B$8)</f>
        <v>1.6441567171581988</v>
      </c>
      <c r="G105" s="81">
        <f>IF(B19=0,0,(8.84+(5*(0.018+0.014+0.014+0.005))+0.03))</f>
        <v>9.125</v>
      </c>
      <c r="H105" s="81">
        <f>IF(B19=0,0,817.38*(G19/817.38))</f>
        <v>817.37999999999988</v>
      </c>
      <c r="I105" s="62">
        <f t="shared" si="16"/>
        <v>828.57268477642378</v>
      </c>
      <c r="J105" s="131"/>
    </row>
    <row r="106" spans="1:10" ht="12.75" customHeight="1" x14ac:dyDescent="0.25">
      <c r="A106" s="15" t="s">
        <v>86</v>
      </c>
      <c r="B106" s="81">
        <f>IF(B18=0,0,(200/500)*$D$33)</f>
        <v>6.6520000000000001</v>
      </c>
      <c r="C106" s="68"/>
      <c r="D106" s="81">
        <f>IF(B18=0,0,((100/500)*$D$34)+(($H$88*(G106/$G$114))/$B$8))</f>
        <v>0.96632481620327693</v>
      </c>
      <c r="E106" s="81"/>
      <c r="F106" s="124">
        <f>IF(B18=0,0,($H$87*(G106/$G$114))/$B$8)</f>
        <v>8.4685332281025039E-2</v>
      </c>
      <c r="G106" s="81">
        <f>IF(B18=0,0,(0.47))</f>
        <v>0.47</v>
      </c>
      <c r="H106" s="108">
        <f>IF(B18=0,0,(2.18+0.56)*(G18/2.74))</f>
        <v>2.7365200000000001</v>
      </c>
      <c r="I106" s="62">
        <f t="shared" si="16"/>
        <v>10.909530148484302</v>
      </c>
      <c r="J106" s="131"/>
    </row>
    <row r="107" spans="1:10" ht="12.75" customHeight="1" x14ac:dyDescent="0.25">
      <c r="A107" s="15" t="s">
        <v>87</v>
      </c>
      <c r="B107" s="81">
        <f>IF(D17=0,0,((0.5+62.5+0.5+0.5)/500)*$D$33)</f>
        <v>2.1286399999999999</v>
      </c>
      <c r="C107" s="68"/>
      <c r="D107" s="81">
        <f>IF(D17=0,0,(((1+125+1+1)/500)*$D$34)+(($H$88*(G107/$G$114))/$B$8))</f>
        <v>1.3494683116213844</v>
      </c>
      <c r="E107" s="81"/>
      <c r="F107" s="124">
        <f>IF(D17=0,0,($H$87*(G107/$G$114))/$B$8)</f>
        <v>4.2090411923213589</v>
      </c>
      <c r="G107" s="81">
        <f>IF(D17=0,0,(19.62+3.01+(60*0.000833333)+(2*0.095)+(2*0.005)+0.48))</f>
        <v>23.359999980000005</v>
      </c>
      <c r="H107" s="108">
        <f>IF(D17=0,0,(5.69+1.26+2.12+1.19)*(G17/10.26))</f>
        <v>10.254</v>
      </c>
      <c r="I107" s="62">
        <f t="shared" si="16"/>
        <v>41.301149483942744</v>
      </c>
      <c r="J107" s="131"/>
    </row>
    <row r="108" spans="1:10" ht="12.75" customHeight="1" x14ac:dyDescent="0.25">
      <c r="A108" s="15" t="s">
        <v>93</v>
      </c>
      <c r="B108" s="81">
        <f>((4+37.5+187.5+4)/500)*$D$33</f>
        <v>7.7495799999999999</v>
      </c>
      <c r="C108" s="68"/>
      <c r="D108" s="81">
        <f>(((1.33+0+2.67)/500)*$D$34)+(($H$88*(G108/$G$114))/$B$8)</f>
        <v>8.7282211919737951E-2</v>
      </c>
      <c r="E108" s="81"/>
      <c r="F108" s="124">
        <f t="shared" ref="F108:F113" si="18">($H$87*(G108/$G$114))/$B$8</f>
        <v>1.7747883467406311</v>
      </c>
      <c r="G108" s="81">
        <f>(6.88+2.97)</f>
        <v>9.85</v>
      </c>
      <c r="H108" s="88">
        <v>0</v>
      </c>
      <c r="I108" s="62">
        <f t="shared" si="16"/>
        <v>19.461650558660367</v>
      </c>
      <c r="J108" s="131"/>
    </row>
    <row r="109" spans="1:10" ht="12.75" customHeight="1" x14ac:dyDescent="0.25">
      <c r="A109" s="15" t="s">
        <v>94</v>
      </c>
      <c r="B109" s="81">
        <f>((0.9+180+180+0.9+0.9+40)/500)*$D$33</f>
        <v>13.393801999999997</v>
      </c>
      <c r="C109" s="68"/>
      <c r="D109" s="81">
        <f>(((1.8+90+90+1.8+1.8+36)/500)*$D$34)+(($H$88*(G109/$G$114))/$B$8)</f>
        <v>2.3639581623790291</v>
      </c>
      <c r="E109" s="81"/>
      <c r="F109" s="124">
        <f t="shared" si="18"/>
        <v>8.3658297400170056</v>
      </c>
      <c r="G109" s="81">
        <f>(19.62+16.96+6.88+2.97)</f>
        <v>46.43</v>
      </c>
      <c r="H109" s="88">
        <v>0</v>
      </c>
      <c r="I109" s="62">
        <f t="shared" si="16"/>
        <v>70.553589902396027</v>
      </c>
      <c r="J109" s="131"/>
    </row>
    <row r="110" spans="1:10" ht="12.75" customHeight="1" x14ac:dyDescent="0.25">
      <c r="A110" s="15" t="s">
        <v>83</v>
      </c>
      <c r="B110" s="81">
        <f>((0+33.33+33.33+1+0)/500)*$D$33</f>
        <v>2.2503715999999998</v>
      </c>
      <c r="C110" s="68"/>
      <c r="D110" s="81">
        <f>(((1+150+33.3+1+1)/500)*$D$34)+(($H$88*(G110/$G$114))/$B$8)</f>
        <v>1.9062371092193056</v>
      </c>
      <c r="E110" s="81"/>
      <c r="F110" s="124">
        <f t="shared" si="18"/>
        <v>4.0180487443975705</v>
      </c>
      <c r="G110" s="81">
        <f>(8.31+3.6+0.12+0.42+6.88+2.97)</f>
        <v>22.299999999999997</v>
      </c>
      <c r="H110" s="88">
        <v>0</v>
      </c>
      <c r="I110" s="62">
        <f t="shared" si="16"/>
        <v>30.474657453616874</v>
      </c>
      <c r="J110" s="131"/>
    </row>
    <row r="111" spans="1:10" ht="12.75" customHeight="1" x14ac:dyDescent="0.25">
      <c r="A111" s="15" t="s">
        <v>88</v>
      </c>
      <c r="B111" s="81">
        <f>IF(D15=0,0,((0.05+0.3125+0.05+0.05)/500)*$D$33)</f>
        <v>1.5382749999999997E-2</v>
      </c>
      <c r="C111" s="68"/>
      <c r="D111" s="81">
        <f>IF(D15=0,0,(((0.1+6.3+0.1+0.1)/500)*$D$34)+(($H$88*(G111/$G$114))/$B$8))</f>
        <v>0.20375600636667329</v>
      </c>
      <c r="E111" s="81"/>
      <c r="F111" s="124">
        <f>IF(D15=0,0,($H$87*(G111/$G$114))/$B$8)</f>
        <v>5.1045435358036864</v>
      </c>
      <c r="G111" s="81">
        <f>IF(D15=0,0,(19.62+7.98+(60*0.000833333)+(2*0.095)+(2*0.005)+0.48))</f>
        <v>28.329999980000004</v>
      </c>
      <c r="H111" s="68">
        <f>IF(D15=0,0,(1.05+0.5)*(G15/29.7))</f>
        <v>1.5501043771043772</v>
      </c>
      <c r="I111" s="62">
        <f t="shared" si="16"/>
        <v>35.20378664927474</v>
      </c>
      <c r="J111" s="131"/>
    </row>
    <row r="112" spans="1:10" ht="12.75" customHeight="1" x14ac:dyDescent="0.25">
      <c r="A112" s="15" t="s">
        <v>81</v>
      </c>
      <c r="B112" s="81">
        <f>IF(B22=0,0,((1+25+1+1)/500)*$D$33)</f>
        <v>0.93128</v>
      </c>
      <c r="C112" s="68"/>
      <c r="D112" s="81">
        <f>IF(B22=0,0,(((1+1.9+1+1)/500)*$D$34)+(($H$88*(G112/$G$114))/$B$8))</f>
        <v>0.20448261085568217</v>
      </c>
      <c r="E112" s="81"/>
      <c r="F112" s="124">
        <f>IF(B22=0,0,($H$87*(G112/$G$114))/$B$8)</f>
        <v>5.727971730242098</v>
      </c>
      <c r="G112" s="81">
        <f>IF(B22=0,0,(19.62+2.32+8.84+(2*0.055)+0.02+(4*0.02)+0.8))</f>
        <v>31.79</v>
      </c>
      <c r="H112" s="68">
        <f>IF(B22=0,0,43.6*(G22/43.6))</f>
        <v>43.6</v>
      </c>
      <c r="I112" s="62">
        <f t="shared" si="16"/>
        <v>82.253734341097783</v>
      </c>
      <c r="J112" s="131"/>
    </row>
    <row r="113" spans="1:10" ht="12.75" customHeight="1" x14ac:dyDescent="0.25">
      <c r="A113" s="44" t="s">
        <v>82</v>
      </c>
      <c r="B113" s="84">
        <f>((6.67+1+225+1+1+6.67)/500)*$D$33</f>
        <v>8.0269683999999994</v>
      </c>
      <c r="C113" s="66"/>
      <c r="D113" s="84">
        <f>(((1+405+1+1)/500)*$D$34)+(($H$88*(G113/$G$114))/$B$8)</f>
        <v>4.1469041623523939</v>
      </c>
      <c r="E113" s="84"/>
      <c r="F113" s="84">
        <f t="shared" si="18"/>
        <v>7.7874469386934093</v>
      </c>
      <c r="G113" s="84">
        <f>(19.62+0.3+3.13+0.61+9.71+6.88+2.97)</f>
        <v>43.220000000000006</v>
      </c>
      <c r="H113" s="125">
        <v>0</v>
      </c>
      <c r="I113" s="67">
        <f t="shared" si="16"/>
        <v>63.181319501045806</v>
      </c>
      <c r="J113" s="139"/>
    </row>
    <row r="114" spans="1:10" ht="12.75" customHeight="1" x14ac:dyDescent="0.25">
      <c r="A114" s="34" t="s">
        <v>27</v>
      </c>
      <c r="B114" s="66">
        <f>SUM(B94:B113)</f>
        <v>72.46297994999999</v>
      </c>
      <c r="C114" s="66"/>
      <c r="D114" s="66">
        <f>SUM(D94:D113)</f>
        <v>20.368980400000005</v>
      </c>
      <c r="E114" s="84"/>
      <c r="F114" s="66">
        <f>SUM(F94:F113)</f>
        <v>82.469999999999985</v>
      </c>
      <c r="G114" s="66">
        <f>SUM(G94:G113)</f>
        <v>457.70499986200014</v>
      </c>
      <c r="H114" s="66">
        <f>SUM(H94:H113)</f>
        <v>1388.2005763637023</v>
      </c>
      <c r="I114" s="67">
        <f>SUM(D114:G114)</f>
        <v>560.5439802620001</v>
      </c>
      <c r="J114" s="35"/>
    </row>
    <row r="115" spans="1:10" ht="18" customHeight="1" x14ac:dyDescent="0.25">
      <c r="A115" s="69" t="s">
        <v>96</v>
      </c>
      <c r="B115" s="37"/>
      <c r="C115" s="37"/>
      <c r="D115" s="37"/>
      <c r="E115" s="100"/>
      <c r="F115" s="37"/>
      <c r="G115" s="77"/>
      <c r="H115" s="77"/>
      <c r="I115" s="77"/>
      <c r="J115" s="11"/>
    </row>
    <row r="116" spans="1:10" ht="37.9" hidden="1" customHeight="1" x14ac:dyDescent="0.25">
      <c r="A116" s="172"/>
      <c r="B116" s="172"/>
      <c r="C116" s="172"/>
      <c r="D116" s="172"/>
      <c r="E116" s="172"/>
      <c r="F116" s="172"/>
      <c r="G116" s="172"/>
      <c r="H116" s="172"/>
      <c r="I116" s="172"/>
      <c r="J116" s="172"/>
    </row>
    <row r="117" spans="1:10" ht="13.9" customHeight="1" x14ac:dyDescent="0.25">
      <c r="A117" s="16" t="s">
        <v>16</v>
      </c>
      <c r="B117" s="17"/>
      <c r="C117" s="17"/>
      <c r="D117" s="6"/>
      <c r="E117" s="97"/>
      <c r="F117" s="6"/>
      <c r="G117" s="6"/>
      <c r="H117" s="6"/>
      <c r="I117" s="6"/>
      <c r="J117" s="11"/>
    </row>
    <row r="118" spans="1:10" ht="16.899999999999999" customHeight="1" x14ac:dyDescent="0.25">
      <c r="A118" s="45" t="s">
        <v>37</v>
      </c>
      <c r="B118" s="6"/>
      <c r="C118" s="6"/>
      <c r="D118" s="6"/>
      <c r="E118" s="97"/>
      <c r="F118" s="6"/>
      <c r="G118" s="6"/>
      <c r="H118" s="6"/>
      <c r="I118" s="6"/>
      <c r="J118" s="11"/>
    </row>
    <row r="119" spans="1:10" ht="24" customHeight="1" x14ac:dyDescent="0.25"/>
    <row r="120" spans="1:10" ht="16.899999999999999" customHeight="1" x14ac:dyDescent="0.25">
      <c r="J120" s="4"/>
    </row>
    <row r="121" spans="1:10" ht="13.9" customHeight="1" x14ac:dyDescent="0.25">
      <c r="J121" s="4"/>
    </row>
    <row r="122" spans="1:10" ht="13.9" customHeight="1" x14ac:dyDescent="0.25">
      <c r="J122" s="4"/>
    </row>
    <row r="123" spans="1:10" ht="13.9" customHeight="1" x14ac:dyDescent="0.25">
      <c r="J123" s="4"/>
    </row>
    <row r="124" spans="1:10" ht="13.9" customHeight="1" x14ac:dyDescent="0.25">
      <c r="J124" s="4"/>
    </row>
    <row r="125" spans="1:10" ht="13.9" customHeight="1" x14ac:dyDescent="0.25">
      <c r="J125" s="4"/>
    </row>
    <row r="126" spans="1:10" ht="13.9" customHeight="1" x14ac:dyDescent="0.25">
      <c r="J126" s="4"/>
    </row>
    <row r="127" spans="1:10" ht="13.9" customHeight="1" x14ac:dyDescent="0.25">
      <c r="J127" s="4"/>
    </row>
    <row r="128" spans="1:10" ht="13.9" customHeight="1" x14ac:dyDescent="0.25">
      <c r="J128" s="4"/>
    </row>
    <row r="129" spans="10:10" ht="13.9" customHeight="1" x14ac:dyDescent="0.25">
      <c r="J129" s="4"/>
    </row>
    <row r="130" spans="10:10" ht="13.9" customHeight="1" x14ac:dyDescent="0.25">
      <c r="J130" s="4"/>
    </row>
    <row r="131" spans="10:10" ht="6.75" customHeight="1" x14ac:dyDescent="0.25">
      <c r="J131" s="4"/>
    </row>
    <row r="132" spans="10:10" ht="13.9" customHeight="1" x14ac:dyDescent="0.25">
      <c r="J132" s="4"/>
    </row>
    <row r="133" spans="10:10" ht="13.9" customHeight="1" x14ac:dyDescent="0.25">
      <c r="J133" s="4"/>
    </row>
    <row r="134" spans="10:10" ht="13.9" customHeight="1" x14ac:dyDescent="0.25">
      <c r="J134" s="4"/>
    </row>
    <row r="135" spans="10:10" ht="13.9" customHeight="1" x14ac:dyDescent="0.25">
      <c r="J135" s="4"/>
    </row>
    <row r="136" spans="10:10" ht="13.9" customHeight="1" x14ac:dyDescent="0.25">
      <c r="J136" s="4"/>
    </row>
    <row r="137" spans="10:10" ht="13.9" customHeight="1" x14ac:dyDescent="0.25">
      <c r="J137" s="4"/>
    </row>
    <row r="138" spans="10:10" ht="13.9" customHeight="1" x14ac:dyDescent="0.25">
      <c r="J138" s="4"/>
    </row>
    <row r="139" spans="10:10" ht="13.9" customHeight="1" x14ac:dyDescent="0.25">
      <c r="J139" s="4"/>
    </row>
    <row r="140" spans="10:10" ht="13.9" customHeight="1" x14ac:dyDescent="0.25"/>
    <row r="141" spans="10:10" ht="13.9" customHeight="1" x14ac:dyDescent="0.25"/>
  </sheetData>
  <sheetProtection algorithmName="SHA-512" hashValue="MavKudMOUm/HR7FVtRJ2tISQ2OcK6vU0heTJ7f3tfWqbFHhRLtYerk0KQpr7ZEZ/l9lZxtQSpYYtt3SxJwBoWQ==" saltValue="RyxtuQ+D2FCh6d5CWgajDA==" spinCount="100000" sheet="1" objects="1" scenarios="1" selectLockedCells="1"/>
  <mergeCells count="13">
    <mergeCell ref="A91:G91"/>
    <mergeCell ref="A116:J116"/>
    <mergeCell ref="A81:J81"/>
    <mergeCell ref="A82:J82"/>
    <mergeCell ref="A84:J84"/>
    <mergeCell ref="A85:J85"/>
    <mergeCell ref="A86:J86"/>
    <mergeCell ref="B59:D59"/>
    <mergeCell ref="A1:J1"/>
    <mergeCell ref="A2:J2"/>
    <mergeCell ref="A3:J3"/>
    <mergeCell ref="B26:D26"/>
    <mergeCell ref="B37:D37"/>
  </mergeCells>
  <pageMargins left="0.7" right="0.7" top="0.75" bottom="0.75" header="0.3" footer="0.3"/>
  <pageSetup scale="56" orientation="portrait" r:id="rId1"/>
  <rowBreaks count="1" manualBreakCount="1">
    <brk id="76" max="9" man="1"/>
  </rowBreaks>
  <drawing r:id="rId2"/>
  <legacyDrawing r:id="rId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Wild BB-CONV 500 acres-FRZ</vt:lpstr>
      <vt:lpstr>'Wild BB-CONV 500 acres-FRZ'!Print_Area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Ellen Mallory</dc:creator>
  <cp:lastModifiedBy>CE Owner</cp:lastModifiedBy>
  <cp:lastPrinted>2024-05-14T23:48:42Z</cp:lastPrinted>
  <dcterms:created xsi:type="dcterms:W3CDTF">2010-01-08T17:04:22Z</dcterms:created>
  <dcterms:modified xsi:type="dcterms:W3CDTF">2024-05-14T23:48:56Z</dcterms:modified>
</cp:coreProperties>
</file>