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CE Owner\Dropbox\My PC (PC)\Desktop\Wild BB UMaine Extension Enterprise Budgets &amp; Updates\ORG15-FRSH\"/>
    </mc:Choice>
  </mc:AlternateContent>
  <bookViews>
    <workbookView xWindow="0" yWindow="0" windowWidth="10590" windowHeight="7650" tabRatio="616"/>
  </bookViews>
  <sheets>
    <sheet name="Wild BB-ORG 15 acres-FRSH" sheetId="11" r:id="rId1"/>
  </sheets>
  <definedNames>
    <definedName name="_RF1">#REF!</definedName>
    <definedName name="_RF2">#REF!</definedName>
    <definedName name="acres">#REF!</definedName>
    <definedName name="Acres_per_hour">#REF!</definedName>
    <definedName name="Acres_per_year">#REF!</definedName>
    <definedName name="Assumed_acres_per_hour">#REF!</definedName>
    <definedName name="Assumed_Application_Rate">#REF!</definedName>
    <definedName name="Assumed_Cost">#REF!</definedName>
    <definedName name="Assumed_gallons_per_hour">#REF!</definedName>
    <definedName name="Assumed_Implement">#REF!</definedName>
    <definedName name="Assumed_Passes">#REF!</definedName>
    <definedName name="Assumed_Percentage_Rate">#REF!</definedName>
    <definedName name="Assumed_Price">#REF!</definedName>
    <definedName name="Assumed_Quantity">#REF!</definedName>
    <definedName name="Assumed_Yield">#REF!</definedName>
    <definedName name="Baling_Straw">#REF!</definedName>
    <definedName name="Chilean_Nitrate">#REF!</definedName>
    <definedName name="Choose_Your_Input">#REF!</definedName>
    <definedName name="Clover_Seed_for_Green_Manure">#REF!</definedName>
    <definedName name="Combine">#REF!</definedName>
    <definedName name="Combining">#REF!</definedName>
    <definedName name="cost">#REF!</definedName>
    <definedName name="Cost_Acre">#REF!</definedName>
    <definedName name="Cost_per_acre">#REF!</definedName>
    <definedName name="Cost_Unit">#REF!</definedName>
    <definedName name="Crop_Insurance">#REF!</definedName>
    <definedName name="Current_Acres_per_hour">#REF!</definedName>
    <definedName name="Current_acres_per_year">#REF!</definedName>
    <definedName name="Current_Application_Rate">#REF!</definedName>
    <definedName name="Current_Cost">#REF!</definedName>
    <definedName name="Current_Field_Efficieny">#REF!</definedName>
    <definedName name="Current_Gallons_per_hour">#REF!</definedName>
    <definedName name="Current_Implement">#REF!</definedName>
    <definedName name="Current_implement_Lifetime_Repair">#REF!</definedName>
    <definedName name="Current_Implement_Speed">#REF!</definedName>
    <definedName name="Current_list_Price">#REF!</definedName>
    <definedName name="Current_passes">#REF!</definedName>
    <definedName name="Current_Percentage_Rate">#REF!</definedName>
    <definedName name="Current_Price">#REF!</definedName>
    <definedName name="Current_PTO_HP">#REF!</definedName>
    <definedName name="Current_Purchase_age">#REF!</definedName>
    <definedName name="Current_Quantity">#REF!</definedName>
    <definedName name="Current_Repair_per_hour">#REF!</definedName>
    <definedName name="Current_Retirement_age">#REF!</definedName>
    <definedName name="Current_RF1">#REF!</definedName>
    <definedName name="Current_RF2">#REF!</definedName>
    <definedName name="Current_width">#REF!</definedName>
    <definedName name="Dehydrated_Chicken">#REF!</definedName>
    <definedName name="Dryer_Beginning_moisture">#REF!</definedName>
    <definedName name="Dryer_BTU_gal">#REF!</definedName>
    <definedName name="Dryer_BTU_kwh">#REF!</definedName>
    <definedName name="Dryer_BTU_lb">#REF!</definedName>
    <definedName name="Dryer_Bushels_per_year">#REF!</definedName>
    <definedName name="Dryer_Capacity">#REF!</definedName>
    <definedName name="dryer_electric_cost">#REF!</definedName>
    <definedName name="dryer_electric_proportion">#REF!</definedName>
    <definedName name="Dryer_electricity_price">#REF!</definedName>
    <definedName name="Dryer_Ending_moisture">#REF!</definedName>
    <definedName name="Dryer_Initial_investment">#REF!</definedName>
    <definedName name="Dryer_Labor_Cost">#REF!</definedName>
    <definedName name="Dryer_Labor_percent_time">#REF!</definedName>
    <definedName name="Dryer_lb_water_bu">#REF!</definedName>
    <definedName name="dryer_propane_cost">#REF!</definedName>
    <definedName name="Dryer_propane_price">#REF!</definedName>
    <definedName name="dryer_repair_cost">#REF!</definedName>
    <definedName name="Dryer_repair_percent">#REF!</definedName>
    <definedName name="Drying_System">#REF!</definedName>
    <definedName name="Extra_Expenses">#REF!</definedName>
    <definedName name="Fertilizer_Spreading">#REF!</definedName>
    <definedName name="Field_Efficiency">#REF!</definedName>
    <definedName name="field_operation_cost_per_acre">#REF!</definedName>
    <definedName name="Fuel_gal_acre">#REF!</definedName>
    <definedName name="Fuel_Oil_Cost">#REF!</definedName>
    <definedName name="fuel_price">#REF!</definedName>
    <definedName name="Gallons_per_hour">#REF!</definedName>
    <definedName name="Grain_Drying">#REF!</definedName>
    <definedName name="Grain_Planting">#REF!</definedName>
    <definedName name="Harrow">#REF!</definedName>
    <definedName name="Hauling_Straw">#REF!</definedName>
    <definedName name="Hauling_Wheat">#REF!</definedName>
    <definedName name="Hours_per_year">#REF!</definedName>
    <definedName name="Implement">#REF!</definedName>
    <definedName name="Implement_category_number">#REF!</definedName>
    <definedName name="Implement_parameters">#REF!</definedName>
    <definedName name="Implement_Repair_per_hour">#REF!</definedName>
    <definedName name="Implement_speed">#REF!</definedName>
    <definedName name="Interest_on_Variable_Costs">#REF!</definedName>
    <definedName name="Labor_Cost">#REF!</definedName>
    <definedName name="labor_wage">#REF!</definedName>
    <definedName name="land_price">#REF!</definedName>
    <definedName name="land_rent_rate">#REF!</definedName>
    <definedName name="Leased_Land">#REF!</definedName>
    <definedName name="Lely">#REF!</definedName>
    <definedName name="lely_pass">#REF!</definedName>
    <definedName name="lely_pass_cost">#REF!</definedName>
    <definedName name="Lifetime_Repair">#REF!</definedName>
    <definedName name="Lime">#REF!</definedName>
    <definedName name="Lime_Spreading">#REF!</definedName>
    <definedName name="List_Price">#REF!</definedName>
    <definedName name="Maint._Cost">#REF!</definedName>
    <definedName name="Manure">#REF!</definedName>
    <definedName name="Manure_Material_Price">#REF!</definedName>
    <definedName name="Manure_Spreading">#REF!</definedName>
    <definedName name="material_cost_per_acre">#REF!</definedName>
    <definedName name="Material_Inputs">#REF!</definedName>
    <definedName name="misc_expense_rate">#REF!</definedName>
    <definedName name="miscellaneous_cost_A_per_acre">#REF!</definedName>
    <definedName name="Organic_Certification">#REF!</definedName>
    <definedName name="Planting_Clover">#REF!</definedName>
    <definedName name="Planting_Wheat">#REF!</definedName>
    <definedName name="Power_Source_HP">#REF!</definedName>
    <definedName name="Pre_Interest_Cost">#REF!</definedName>
    <definedName name="pre_misc_cost">#REF!,#REF!,#REF!,#REF!</definedName>
    <definedName name="Primary_Till">#REF!</definedName>
    <definedName name="Primary_Tillage">#REF!</definedName>
    <definedName name="_xlnm.Print_Area" localSheetId="0">'Wild BB-ORG 15 acres-FRSH'!$A$1:$J$103</definedName>
    <definedName name="Purchase_Age">#REF!</definedName>
    <definedName name="Repair_per_hour">#REF!</definedName>
    <definedName name="Retirement_Age">#REF!</definedName>
    <definedName name="Revenue">#REF!</definedName>
    <definedName name="Revenue_Acre">#REF!</definedName>
    <definedName name="Revenue_Unit">#REF!</definedName>
    <definedName name="Secondary_Tillage">#REF!</definedName>
    <definedName name="Straw">#REF!</definedName>
    <definedName name="straw_price">#REF!</definedName>
    <definedName name="straw_yield">#REF!</definedName>
    <definedName name="Subtotal_Field_Operation">#REF!</definedName>
    <definedName name="Subtotal_Material">#REF!</definedName>
    <definedName name="Subtotal_Miscellaneous">#REF!</definedName>
    <definedName name="Survey_acres_per_hour">#REF!</definedName>
    <definedName name="Survey_Choice">#REF!</definedName>
    <definedName name="Total_Cost">#REF!</definedName>
    <definedName name="Total_Cost_dol_acre">#REF!</definedName>
    <definedName name="total_cost_per_acre">#REF!</definedName>
    <definedName name="Total_Revenue">#REF!</definedName>
    <definedName name="total_revenue_per_acre">#REF!</definedName>
    <definedName name="Tractor_category_number">#REF!</definedName>
    <definedName name="Tractor_performance">#REF!</definedName>
    <definedName name="Tractor_PTO_HP">#REF!</definedName>
    <definedName name="Tractor_Repair_per_hour">#REF!</definedName>
    <definedName name="Truck_average_mph">#REF!</definedName>
    <definedName name="Truck_carrying_capacity">#REF!</definedName>
    <definedName name="Truck_shipping_distance">#REF!</definedName>
    <definedName name="Truck_shipping_price">#REF!</definedName>
    <definedName name="Unit">#REF!</definedName>
    <definedName name="Unit_Acre">#REF!</definedName>
    <definedName name="wheat_haul_pass">#REF!</definedName>
    <definedName name="wheat_haul_pass_cost">#REF!</definedName>
    <definedName name="wheat_price">#REF!</definedName>
    <definedName name="Wheat_Seed">#REF!</definedName>
    <definedName name="wheat_yield">#REF!</definedName>
    <definedName name="Width_of_implement">#REF!</definedName>
    <definedName name="Your_acres_per_hour">#REF!</definedName>
    <definedName name="Your_Application_Rate">#REF!</definedName>
    <definedName name="Your_Cost">#REF!</definedName>
    <definedName name="Your_gallons_per_hour">#REF!</definedName>
    <definedName name="Your_Implement">#REF!</definedName>
    <definedName name="Your_Passes">#REF!</definedName>
    <definedName name="Your_Percentage_Rate">#REF!</definedName>
    <definedName name="Your_Price">#REF!</definedName>
    <definedName name="Your_Quantity">#REF!</definedName>
    <definedName name="Your_Yield">#REF!</definedName>
  </definedNames>
  <calcPr calcId="152511"/>
  <customWorkbookViews>
    <customWorkbookView name="print" guid="{6888C946-AD09-47AA-9419-308DFFEE42E6}" includeHiddenRowCol="0" maximized="1" xWindow="1" yWindow="1" windowWidth="1680" windowHeight="829" activeSheetId="9"/>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G98" i="11" l="1"/>
  <c r="B98" i="11"/>
  <c r="G94" i="11"/>
  <c r="B94" i="11"/>
  <c r="G93" i="11"/>
  <c r="B93" i="11"/>
  <c r="G92" i="11"/>
  <c r="B92" i="11"/>
  <c r="B91" i="11"/>
  <c r="G88" i="11"/>
  <c r="B88" i="11"/>
  <c r="G87" i="11"/>
  <c r="B87" i="11"/>
  <c r="G95" i="11" l="1"/>
  <c r="G89" i="11"/>
  <c r="G91" i="11" l="1"/>
  <c r="B85" i="11" l="1"/>
  <c r="D71" i="11" l="1"/>
  <c r="G26" i="11" l="1"/>
  <c r="I26" i="11" s="1"/>
  <c r="H26" i="11" l="1"/>
  <c r="H83" i="11"/>
  <c r="H82" i="11"/>
  <c r="G96" i="11" l="1"/>
  <c r="G97" i="11" l="1"/>
  <c r="B97" i="11" l="1"/>
  <c r="B96" i="11"/>
  <c r="B95" i="11"/>
  <c r="B89" i="11"/>
  <c r="G28" i="11" l="1"/>
  <c r="I28" i="11" s="1"/>
  <c r="G27" i="11"/>
  <c r="G25" i="11"/>
  <c r="H25" i="11" s="1"/>
  <c r="G29" i="11"/>
  <c r="I29" i="11" s="1"/>
  <c r="I25" i="11" l="1"/>
  <c r="H27" i="11"/>
  <c r="I27" i="11"/>
  <c r="H28" i="11"/>
  <c r="H29" i="11"/>
  <c r="G49" i="11"/>
  <c r="I49" i="11" s="1"/>
  <c r="H49" i="11" l="1"/>
  <c r="A1" i="11"/>
  <c r="H91" i="11" l="1"/>
  <c r="H89" i="11"/>
  <c r="G53" i="11" l="1"/>
  <c r="I53" i="11" s="1"/>
  <c r="G21" i="11"/>
  <c r="I21" i="11" s="1"/>
  <c r="H53" i="11" l="1"/>
  <c r="H21" i="11"/>
  <c r="G43" i="11" l="1"/>
  <c r="B48" i="11"/>
  <c r="G48" i="11" s="1"/>
  <c r="B47" i="11"/>
  <c r="G47" i="11" s="1"/>
  <c r="I43" i="11" l="1"/>
  <c r="H97" i="11"/>
  <c r="H43" i="11"/>
  <c r="I47" i="11"/>
  <c r="H47" i="11"/>
  <c r="I48" i="11"/>
  <c r="H48" i="11"/>
  <c r="G20" i="11" l="1"/>
  <c r="G19" i="11"/>
  <c r="H87" i="11" l="1"/>
  <c r="H98" i="11"/>
  <c r="I19" i="11"/>
  <c r="H19" i="11"/>
  <c r="G11" i="11"/>
  <c r="D85" i="11" l="1"/>
  <c r="I11" i="11"/>
  <c r="G5" i="11"/>
  <c r="H5" i="11" s="1"/>
  <c r="H11" i="11"/>
  <c r="G31" i="11"/>
  <c r="H31" i="11" s="1"/>
  <c r="G52" i="11"/>
  <c r="H52" i="11" s="1"/>
  <c r="G50" i="11"/>
  <c r="H50" i="11" s="1"/>
  <c r="G40" i="11"/>
  <c r="H40" i="11" s="1"/>
  <c r="G51" i="11"/>
  <c r="H51" i="11" s="1"/>
  <c r="G46" i="11"/>
  <c r="G45" i="11"/>
  <c r="H45" i="11" s="1"/>
  <c r="G44" i="11"/>
  <c r="H44" i="11" s="1"/>
  <c r="G42" i="11"/>
  <c r="H42" i="11" s="1"/>
  <c r="G41" i="11"/>
  <c r="H41" i="11" s="1"/>
  <c r="G39" i="11"/>
  <c r="H39" i="11" s="1"/>
  <c r="G38" i="11"/>
  <c r="H38" i="11" s="1"/>
  <c r="G37" i="11"/>
  <c r="H37" i="11" s="1"/>
  <c r="G36" i="11"/>
  <c r="H36" i="11" s="1"/>
  <c r="G35" i="11"/>
  <c r="H20" i="11"/>
  <c r="G14" i="11"/>
  <c r="H93" i="11" s="1"/>
  <c r="G16" i="11"/>
  <c r="H88" i="11" s="1"/>
  <c r="G15" i="11"/>
  <c r="G13" i="11"/>
  <c r="H94" i="11" s="1"/>
  <c r="G58" i="11"/>
  <c r="H58" i="11" s="1"/>
  <c r="G57" i="11"/>
  <c r="H57" i="11" s="1"/>
  <c r="G32" i="11"/>
  <c r="H32" i="11" s="1"/>
  <c r="G30" i="11"/>
  <c r="H15" i="11" l="1"/>
  <c r="H92" i="11"/>
  <c r="I16" i="11"/>
  <c r="H46" i="11"/>
  <c r="H95" i="11"/>
  <c r="H30" i="11"/>
  <c r="H33" i="11" s="1"/>
  <c r="G33" i="11"/>
  <c r="H35" i="11"/>
  <c r="G54" i="11"/>
  <c r="G22" i="11"/>
  <c r="I58" i="11"/>
  <c r="H14" i="11"/>
  <c r="I15" i="11"/>
  <c r="I50" i="11"/>
  <c r="I57" i="11"/>
  <c r="I45" i="11"/>
  <c r="I35" i="11"/>
  <c r="I39" i="11"/>
  <c r="H13" i="11"/>
  <c r="I40" i="11"/>
  <c r="B99" i="11"/>
  <c r="I32" i="11"/>
  <c r="I51" i="11"/>
  <c r="I44" i="11"/>
  <c r="I38" i="11"/>
  <c r="H16" i="11"/>
  <c r="I13" i="11"/>
  <c r="I31" i="11"/>
  <c r="I52" i="11"/>
  <c r="I46" i="11"/>
  <c r="I42" i="11"/>
  <c r="I37" i="11"/>
  <c r="G99" i="11"/>
  <c r="I14" i="11"/>
  <c r="I20" i="11"/>
  <c r="I30" i="11"/>
  <c r="I41" i="11"/>
  <c r="I36" i="11"/>
  <c r="G59" i="11"/>
  <c r="I5" i="11"/>
  <c r="H59" i="11"/>
  <c r="D98" i="11" l="1"/>
  <c r="F98" i="11"/>
  <c r="D94" i="11"/>
  <c r="F94" i="11"/>
  <c r="F93" i="11"/>
  <c r="D93" i="11"/>
  <c r="F91" i="11"/>
  <c r="D91" i="11"/>
  <c r="D92" i="11"/>
  <c r="F92" i="11"/>
  <c r="D88" i="11"/>
  <c r="F88" i="11"/>
  <c r="D87" i="11"/>
  <c r="F87" i="11"/>
  <c r="D95" i="11"/>
  <c r="D89" i="11"/>
  <c r="D96" i="11"/>
  <c r="D97" i="11"/>
  <c r="H22" i="11"/>
  <c r="I22" i="11"/>
  <c r="I54" i="11"/>
  <c r="I59" i="11"/>
  <c r="H54" i="11"/>
  <c r="F97" i="11"/>
  <c r="G55" i="11"/>
  <c r="G61" i="11" s="1"/>
  <c r="I33" i="11"/>
  <c r="F95" i="11"/>
  <c r="F89" i="11"/>
  <c r="F96" i="11"/>
  <c r="H99" i="11"/>
  <c r="I98" i="11" l="1"/>
  <c r="I91" i="11"/>
  <c r="I95" i="11"/>
  <c r="I88" i="11"/>
  <c r="I94" i="11"/>
  <c r="H55" i="11"/>
  <c r="H61" i="11" s="1"/>
  <c r="I93" i="11"/>
  <c r="I97" i="11"/>
  <c r="I96" i="11"/>
  <c r="I92" i="11"/>
  <c r="I89" i="11"/>
  <c r="I55" i="11"/>
  <c r="I61" i="11" s="1"/>
  <c r="I68" i="11" s="1"/>
  <c r="F99" i="11"/>
  <c r="G6" i="11"/>
  <c r="I69" i="11" l="1"/>
  <c r="H6" i="11"/>
  <c r="H7" i="11" s="1"/>
  <c r="I6" i="11"/>
  <c r="I7" i="11" s="1"/>
  <c r="G7" i="11"/>
  <c r="I64" i="11" l="1"/>
  <c r="I65" i="11"/>
  <c r="D64" i="11"/>
  <c r="D65" i="11"/>
  <c r="D99" i="11" l="1"/>
  <c r="G68" i="11" l="1"/>
  <c r="H68" i="11" s="1"/>
  <c r="G69" i="11"/>
  <c r="H69" i="11" s="1"/>
  <c r="F65" i="11"/>
  <c r="G65" i="11" s="1"/>
  <c r="F64" i="11"/>
  <c r="G64" i="11" s="1"/>
  <c r="H65" i="11" l="1"/>
  <c r="J65" i="11"/>
  <c r="H64" i="11"/>
  <c r="J64" i="11"/>
  <c r="I87" i="11"/>
  <c r="I99" i="11"/>
</calcChain>
</file>

<file path=xl/comments1.xml><?xml version="1.0" encoding="utf-8"?>
<comments xmlns="http://schemas.openxmlformats.org/spreadsheetml/2006/main">
  <authors>
    <author>CE Owner</author>
  </authors>
  <commentList>
    <comment ref="G87" authorId="0" shapeId="0">
      <text>
        <r>
          <rPr>
            <b/>
            <sz val="9"/>
            <color indexed="81"/>
            <rFont val="Tahoma"/>
            <family val="2"/>
          </rPr>
          <t>Include entire depreciation on medium-sized tractor so this is not split with other implements using this tractor
Also includes older farm pick-up truck, 1 propane tank burner on dolly, 1 propane torch, 1 250-gallon water tank, medium-sized water tank pump, 4 Indian backpack water tanks, and 1 small trailer for water tank</t>
        </r>
      </text>
    </comment>
    <comment ref="H87" authorId="0" shapeId="0">
      <text>
        <r>
          <rPr>
            <b/>
            <sz val="9"/>
            <color indexed="81"/>
            <rFont val="Tahoma"/>
            <family val="2"/>
          </rPr>
          <t>Straw for burning</t>
        </r>
      </text>
    </comment>
    <comment ref="G88" authorId="0" shapeId="0">
      <text>
        <r>
          <rPr>
            <b/>
            <sz val="9"/>
            <color indexed="81"/>
            <rFont val="Tahoma"/>
            <family val="2"/>
          </rPr>
          <t>Include entire depreciation on medium-sized tractor so this is not split with other implements using this tractor
Includes fertilizer spreader</t>
        </r>
      </text>
    </comment>
    <comment ref="H88" authorId="0" shapeId="0">
      <text>
        <r>
          <rPr>
            <b/>
            <sz val="9"/>
            <color indexed="81"/>
            <rFont val="Tahoma"/>
            <family val="2"/>
          </rPr>
          <t>Sulfur for lowering pH</t>
        </r>
      </text>
    </comment>
    <comment ref="G89" authorId="0" shapeId="0">
      <text>
        <r>
          <rPr>
            <b/>
            <sz val="9"/>
            <color indexed="81"/>
            <rFont val="Tahoma"/>
            <family val="2"/>
          </rPr>
          <t>Also includes brush saw/cutter, weed wacker, chainsaw, and chainsaw safety equipment as well as 3-prong hand weeder</t>
        </r>
      </text>
    </comment>
    <comment ref="H89" authorId="0" shapeId="0">
      <text>
        <r>
          <rPr>
            <b/>
            <sz val="9"/>
            <color indexed="81"/>
            <rFont val="Tahoma"/>
            <family val="2"/>
          </rPr>
          <t>None</t>
        </r>
      </text>
    </comment>
    <comment ref="G91" authorId="0" shapeId="0">
      <text>
        <r>
          <rPr>
            <b/>
            <sz val="9"/>
            <color indexed="81"/>
            <rFont val="Tahoma"/>
            <family val="2"/>
          </rPr>
          <t>Does not require any vehicles nor equipment</t>
        </r>
      </text>
    </comment>
    <comment ref="H91" authorId="0" shapeId="0">
      <text>
        <r>
          <rPr>
            <b/>
            <sz val="9"/>
            <color indexed="81"/>
            <rFont val="Tahoma"/>
            <family val="2"/>
          </rPr>
          <t>No materials used for this</t>
        </r>
      </text>
    </comment>
    <comment ref="G92" authorId="0" shapeId="0">
      <text>
        <r>
          <rPr>
            <b/>
            <sz val="9"/>
            <color indexed="81"/>
            <rFont val="Tahoma"/>
            <family val="2"/>
          </rPr>
          <t>Includes pick-up truck
Assume producer owns battery, charger, electrified fence, plastic tool box to weather proof, and voltage tester and these are also included</t>
        </r>
      </text>
    </comment>
    <comment ref="H92" authorId="0" shapeId="0">
      <text>
        <r>
          <rPr>
            <b/>
            <sz val="9"/>
            <color indexed="81"/>
            <rFont val="Tahoma"/>
            <family val="2"/>
          </rPr>
          <t>For rented hives at stocking density and $/hive specified</t>
        </r>
      </text>
    </comment>
    <comment ref="G93" authorId="0" shapeId="0">
      <text>
        <r>
          <rPr>
            <b/>
            <sz val="9"/>
            <color indexed="81"/>
            <rFont val="Tahoma"/>
            <family val="2"/>
          </rPr>
          <t>Includes ATV</t>
        </r>
      </text>
    </comment>
    <comment ref="H93" authorId="0" shapeId="0">
      <text>
        <r>
          <rPr>
            <b/>
            <sz val="9"/>
            <color indexed="81"/>
            <rFont val="Tahoma"/>
            <family val="2"/>
          </rPr>
          <t>Includes trap and trap stake</t>
        </r>
      </text>
    </comment>
    <comment ref="G94" authorId="0" shapeId="0">
      <text>
        <r>
          <rPr>
            <b/>
            <sz val="9"/>
            <color indexed="81"/>
            <rFont val="Tahoma"/>
            <family val="2"/>
          </rPr>
          <t>Include entire depreciation on medium-sized tractor so this is not split with other implements using this tractor
Also includes both medium-sized air blast backpack sprayer and medium-sized air blast sprayer</t>
        </r>
      </text>
    </comment>
    <comment ref="H94" authorId="0" shapeId="0">
      <text>
        <r>
          <rPr>
            <b/>
            <sz val="9"/>
            <color indexed="81"/>
            <rFont val="Tahoma"/>
            <family val="2"/>
          </rPr>
          <t>Includes Entrust</t>
        </r>
      </text>
    </comment>
    <comment ref="G95" authorId="0" shapeId="0">
      <text>
        <r>
          <rPr>
            <b/>
            <sz val="9"/>
            <color indexed="81"/>
            <rFont val="Tahoma"/>
            <family val="2"/>
          </rPr>
          <t xml:space="preserve">Includes both single-handle rake and double-handle rake in reserve
Includes medium-sized 5-ton truck to transport berries and trailer
</t>
        </r>
      </text>
    </comment>
    <comment ref="H95" authorId="0" shapeId="0">
      <text>
        <r>
          <rPr>
            <b/>
            <sz val="9"/>
            <color indexed="81"/>
            <rFont val="Tahoma"/>
            <family val="2"/>
          </rPr>
          <t>Assume this is supplies</t>
        </r>
      </text>
    </comment>
    <comment ref="G96" authorId="0" shapeId="0">
      <text>
        <r>
          <rPr>
            <b/>
            <sz val="9"/>
            <color indexed="81"/>
            <rFont val="Tahoma"/>
            <family val="2"/>
          </rPr>
          <t>Includes mechanized harvester pulled by tractor
Also includes 5-ton truck and trailer</t>
        </r>
      </text>
    </comment>
    <comment ref="H96" authorId="0" shapeId="0">
      <text>
        <r>
          <rPr>
            <b/>
            <sz val="9"/>
            <color indexed="81"/>
            <rFont val="Tahoma"/>
            <family val="2"/>
          </rPr>
          <t>Assume this is $0 since no other materials used</t>
        </r>
      </text>
    </comment>
    <comment ref="G97" authorId="0" shapeId="0">
      <text>
        <r>
          <rPr>
            <b/>
            <sz val="9"/>
            <color indexed="81"/>
            <rFont val="Tahoma"/>
            <family val="2"/>
          </rPr>
          <t>Include entire depreciation on medium-sized tractor so this is not split with other implements using this tractor
Includes mechanized walk-behind harvester 
Also includes 5-ton truck and trailer</t>
        </r>
      </text>
    </comment>
    <comment ref="H97" authorId="0" shapeId="0">
      <text>
        <r>
          <rPr>
            <b/>
            <sz val="9"/>
            <color indexed="81"/>
            <rFont val="Tahoma"/>
            <family val="2"/>
          </rPr>
          <t>Includes quarts for fresh pack</t>
        </r>
      </text>
    </comment>
    <comment ref="G98" authorId="0" shapeId="0">
      <text>
        <r>
          <rPr>
            <b/>
            <sz val="9"/>
            <color indexed="81"/>
            <rFont val="Tahoma"/>
            <family val="2"/>
          </rPr>
          <t>Include entire depreciation on medium-sized tractor so this is not split with other implements using this tractor
Also includes older farm pick-up truck, 1 propane tank burner on dolly, 1 propane torch, 1 250-gallon water tank, medium-sized water tank pump, 4 Indian backpack water tanks, and 1 small trailer for water tank</t>
        </r>
      </text>
    </comment>
    <comment ref="H98" authorId="0" shapeId="0">
      <text>
        <r>
          <rPr>
            <b/>
            <sz val="9"/>
            <color indexed="81"/>
            <rFont val="Tahoma"/>
            <family val="2"/>
          </rPr>
          <t>Straw for burning</t>
        </r>
      </text>
    </comment>
  </commentList>
</comments>
</file>

<file path=xl/sharedStrings.xml><?xml version="1.0" encoding="utf-8"?>
<sst xmlns="http://schemas.openxmlformats.org/spreadsheetml/2006/main" count="165" uniqueCount="122">
  <si>
    <r>
      <t xml:space="preserve">Material </t>
    </r>
    <r>
      <rPr>
        <b/>
        <i/>
        <sz val="10"/>
        <color indexed="8"/>
        <rFont val="Calibri"/>
        <family val="2"/>
      </rPr>
      <t>Costs</t>
    </r>
    <phoneticPr fontId="2" type="noConversion"/>
  </si>
  <si>
    <r>
      <t xml:space="preserve">Field Operation </t>
    </r>
    <r>
      <rPr>
        <b/>
        <i/>
        <sz val="10"/>
        <color indexed="8"/>
        <rFont val="Calibri"/>
        <family val="2"/>
      </rPr>
      <t>Costs</t>
    </r>
    <r>
      <rPr>
        <b/>
        <i/>
        <sz val="10"/>
        <color theme="1"/>
        <rFont val="Calibri"/>
        <family val="2"/>
        <scheme val="minor"/>
      </rPr>
      <t xml:space="preserve"> (see reverse side for details)</t>
    </r>
    <phoneticPr fontId="2" type="noConversion"/>
  </si>
  <si>
    <r>
      <t xml:space="preserve">Miscellanceous </t>
    </r>
    <r>
      <rPr>
        <b/>
        <i/>
        <sz val="10"/>
        <color indexed="8"/>
        <rFont val="Calibri"/>
        <family val="2"/>
      </rPr>
      <t>Costs</t>
    </r>
    <phoneticPr fontId="2" type="noConversion"/>
  </si>
  <si>
    <t>Total Variable Costs</t>
    <phoneticPr fontId="2" type="noConversion"/>
  </si>
  <si>
    <r>
      <t>Net Farm Income</t>
    </r>
    <r>
      <rPr>
        <b/>
        <sz val="10"/>
        <color indexed="8"/>
        <rFont val="Calibri"/>
        <family val="2"/>
      </rPr>
      <t xml:space="preserve"> </t>
    </r>
    <r>
      <rPr>
        <sz val="10"/>
        <color indexed="8"/>
        <rFont val="Calibri"/>
        <family val="2"/>
      </rPr>
      <t>($/acre)</t>
    </r>
    <phoneticPr fontId="2" type="noConversion"/>
  </si>
  <si>
    <r>
      <t>Return over Variable Cost</t>
    </r>
    <r>
      <rPr>
        <b/>
        <sz val="10"/>
        <color indexed="8"/>
        <rFont val="Calibri"/>
        <family val="2"/>
      </rPr>
      <t xml:space="preserve"> </t>
    </r>
    <r>
      <rPr>
        <sz val="10"/>
        <color indexed="8"/>
        <rFont val="Calibri"/>
        <family val="2"/>
      </rPr>
      <t>($/acre)</t>
    </r>
    <phoneticPr fontId="2" type="noConversion"/>
  </si>
  <si>
    <t>Fertilizer</t>
    <phoneticPr fontId="2" type="noConversion"/>
  </si>
  <si>
    <t>Crop Production</t>
    <phoneticPr fontId="2" type="noConversion"/>
  </si>
  <si>
    <t>Total Cost/acre</t>
    <phoneticPr fontId="2" type="noConversion"/>
  </si>
  <si>
    <t>Variable Costs</t>
  </si>
  <si>
    <t>Revenue/Acre</t>
  </si>
  <si>
    <t>Total Revenue</t>
  </si>
  <si>
    <t>Fixed Costs</t>
  </si>
  <si>
    <t>Total Fixed Costs</t>
  </si>
  <si>
    <t>Maintenance and Repair</t>
  </si>
  <si>
    <t>Please see reverse side for NOTES.</t>
  </si>
  <si>
    <t>Questions or Comments:</t>
    <phoneticPr fontId="2" type="noConversion"/>
  </si>
  <si>
    <t>NOTES regarding the enterprise budget:</t>
  </si>
  <si>
    <t>Subtotal</t>
  </si>
  <si>
    <t>Specific assumptions and estimates used:</t>
    <phoneticPr fontId="2" type="noConversion"/>
  </si>
  <si>
    <t>Variable and fixed costs are included:</t>
    <phoneticPr fontId="2" type="noConversion"/>
  </si>
  <si>
    <t>Annual Revenue</t>
  </si>
  <si>
    <t>Depreciation and Interest</t>
  </si>
  <si>
    <t>Tax and Insurance</t>
  </si>
  <si>
    <t>Total Annual Cost</t>
  </si>
  <si>
    <t>Long-run to Cover All Costs</t>
  </si>
  <si>
    <t>Short-run to Cover Operating Costs</t>
  </si>
  <si>
    <t>Total Field Operation Expenses</t>
    <phoneticPr fontId="2" type="noConversion"/>
  </si>
  <si>
    <t>Price/unit</t>
  </si>
  <si>
    <t>=</t>
  </si>
  <si>
    <t>Cost/Acre</t>
  </si>
  <si>
    <t>Wild Blueberry Yield (pounds)</t>
  </si>
  <si>
    <t>Other (                     )</t>
  </si>
  <si>
    <t>-</t>
  </si>
  <si>
    <t>×</t>
  </si>
  <si>
    <t>Revenue/Pound</t>
  </si>
  <si>
    <t>Cost/Pound</t>
  </si>
  <si>
    <t>Please Contact Aaron Hoshide by phone (207) 659-4808 or email: aaron.hoshide@maine.edu</t>
  </si>
  <si>
    <t>Crop Protection</t>
  </si>
  <si>
    <t>Write your own figures or notes here</t>
  </si>
  <si>
    <t>Pollination ($/hive)</t>
  </si>
  <si>
    <t>Insect Traps ($/trap)</t>
  </si>
  <si>
    <t>Sulfur ($/ton) every 7.5 years</t>
  </si>
  <si>
    <t>Burning for Pruning</t>
  </si>
  <si>
    <t>Straw</t>
  </si>
  <si>
    <t>Fuel Oil ($/gallon)</t>
  </si>
  <si>
    <t>Total or Unit/Acre</t>
  </si>
  <si>
    <t>Heating ($/gallon)</t>
  </si>
  <si>
    <t>Advertising and Marketing</t>
  </si>
  <si>
    <t>Certification</t>
  </si>
  <si>
    <t>Conferences</t>
  </si>
  <si>
    <t>Dues and Fees</t>
  </si>
  <si>
    <t>Fire Permit</t>
  </si>
  <si>
    <t>Legal and Accounting</t>
  </si>
  <si>
    <t>Licenses</t>
  </si>
  <si>
    <t>Phone Bill</t>
  </si>
  <si>
    <t>Registration (Vehicles)</t>
  </si>
  <si>
    <t>Supplies</t>
  </si>
  <si>
    <t>Travel</t>
  </si>
  <si>
    <t>Trash Removal</t>
  </si>
  <si>
    <t>Utilities</t>
  </si>
  <si>
    <t>Price/Pound</t>
  </si>
  <si>
    <r>
      <t>Farm Performance Measures (</t>
    </r>
    <r>
      <rPr>
        <i/>
        <sz val="10"/>
        <color theme="1"/>
        <rFont val="Calibri"/>
        <family val="2"/>
        <scheme val="minor"/>
      </rPr>
      <t>Breakeven Revenue)</t>
    </r>
    <r>
      <rPr>
        <b/>
        <sz val="10"/>
        <color theme="1"/>
        <rFont val="Calibri"/>
        <family val="2"/>
        <scheme val="minor"/>
      </rPr>
      <t xml:space="preserve"> </t>
    </r>
  </si>
  <si>
    <r>
      <t>Wild blueberry yields</t>
    </r>
    <r>
      <rPr>
        <sz val="11"/>
        <rFont val="Calibri"/>
        <family val="2"/>
        <scheme val="minor"/>
      </rPr>
      <t xml:space="preserve"> - Based on historical</t>
    </r>
    <r>
      <rPr>
        <sz val="11"/>
        <rFont val="Calibri"/>
        <family val="2"/>
      </rPr>
      <t xml:space="preserve"> yields as well as yields surveyed from cooperating producers</t>
    </r>
    <r>
      <rPr>
        <sz val="11"/>
        <rFont val="Calibri"/>
        <family val="2"/>
        <scheme val="minor"/>
      </rPr>
      <t>.</t>
    </r>
  </si>
  <si>
    <t>Leased land - Assumes that 0% of crop area is leased and 100% owned.</t>
  </si>
  <si>
    <r>
      <t xml:space="preserve">Diesel Fuel </t>
    </r>
    <r>
      <rPr>
        <sz val="10"/>
        <color indexed="8"/>
        <rFont val="Calibri"/>
        <family val="2"/>
      </rPr>
      <t>($/gal)</t>
    </r>
  </si>
  <si>
    <t>Oil</t>
  </si>
  <si>
    <t xml:space="preserve">The purpose of this enterprise budget is to provide an economic framework for evaluating wild blueberry production. Variable costs include material expenses, miscellaneous expenses, and field operation expenses. Fixed costs refer to capital depreciation, land, taxes and insurance.  </t>
  </si>
  <si>
    <r>
      <t>Fixed costs are aggregated from a more detailed itemized budget for this model. Caution, the cost of equipment can vary dramatically and for this budget. I</t>
    </r>
    <r>
      <rPr>
        <sz val="11"/>
        <color indexed="8"/>
        <rFont val="Calibri"/>
        <family val="2"/>
        <scheme val="minor"/>
      </rPr>
      <t>t is assumed that all equipment is purchased new and replaced at the end of its time allotted depreciation cycle.  For example, owning and operating a used piece of equipment beyond it's normal depreciation cycle can reduce the depr</t>
    </r>
    <r>
      <rPr>
        <sz val="11"/>
        <color indexed="8"/>
        <rFont val="Calibri"/>
        <family val="2"/>
      </rPr>
      <t>e</t>
    </r>
    <r>
      <rPr>
        <sz val="11"/>
        <color indexed="8"/>
        <rFont val="Calibri"/>
        <family val="2"/>
        <scheme val="minor"/>
      </rPr>
      <t>c</t>
    </r>
    <r>
      <rPr>
        <sz val="11"/>
        <color indexed="8"/>
        <rFont val="Calibri"/>
        <family val="2"/>
      </rPr>
      <t>iation</t>
    </r>
    <r>
      <rPr>
        <sz val="11"/>
        <color indexed="8"/>
        <rFont val="Calibri"/>
        <family val="2"/>
        <scheme val="minor"/>
      </rPr>
      <t xml:space="preserve"> and interest costs for that piece of equipment. However, repair costs will go up as equipment ages.</t>
    </r>
  </si>
  <si>
    <r>
      <t>Crop and input prices</t>
    </r>
    <r>
      <rPr>
        <sz val="11"/>
        <rFont val="Calibri"/>
        <family val="2"/>
        <scheme val="minor"/>
      </rPr>
      <t xml:space="preserve"> - </t>
    </r>
    <r>
      <rPr>
        <sz val="11"/>
        <rFont val="Calibri"/>
        <family val="2"/>
      </rPr>
      <t>Based on cooperating producer surveys most recently updated from 2023 phone surveys.</t>
    </r>
  </si>
  <si>
    <t>The table below outlines assumed field operations including equipment transport to fields.</t>
  </si>
  <si>
    <t>Annual Cost or Cost/Unit</t>
  </si>
  <si>
    <t>Fruiting Acres =</t>
  </si>
  <si>
    <t>Prune Year</t>
  </si>
  <si>
    <t>Fruiting Year</t>
  </si>
  <si>
    <t xml:space="preserve">   Pruning (Burn)</t>
  </si>
  <si>
    <t xml:space="preserve">   Spread Sulfur</t>
  </si>
  <si>
    <t xml:space="preserve">   Determine Maggot Fly Threshold</t>
  </si>
  <si>
    <t xml:space="preserve">   Spray (Insecticide)</t>
  </si>
  <si>
    <t>TOTAL REVENUE</t>
  </si>
  <si>
    <t>TOTAL COSTS</t>
  </si>
  <si>
    <t>Cost/acre for Maintenance/Repair*</t>
  </si>
  <si>
    <t>Cost/acre for Depreciation†</t>
  </si>
  <si>
    <r>
      <t>Total Maintenance/Repair</t>
    </r>
    <r>
      <rPr>
        <sz val="11"/>
        <color theme="1"/>
        <rFont val="Calibri"/>
        <family val="2"/>
        <scheme val="minor"/>
      </rPr>
      <t>:</t>
    </r>
  </si>
  <si>
    <t>* Total maintenance costs from model allocated in proportion to depreciation for specific operation. † Just for crop production not other capital (land, buildings, etc.).</t>
  </si>
  <si>
    <t xml:space="preserve"> Yield (units/acre)</t>
  </si>
  <si>
    <t>Cost/acre for Materials</t>
  </si>
  <si>
    <t>Cost/                  Fruiting Acre</t>
  </si>
  <si>
    <t>Revenue/                    Fruiting Acre</t>
  </si>
  <si>
    <t>Revenue/Fruiting Acre</t>
  </si>
  <si>
    <t>Prepared by Aaron Hoshide, University of Maine School of Economics;
Lily Calderwood, University of Maine Cooperative Extension; Eric Venturini, Maine Wild Blueberry Commission;                                                                                                                                                                                                        Dave Yarborough, University of Maine, Emeritus Wild Blueberry Specialist &amp; Professor of Horticulture</t>
  </si>
  <si>
    <r>
      <t xml:space="preserve">Profit or </t>
    </r>
    <r>
      <rPr>
        <b/>
        <sz val="11"/>
        <color rgb="FFFF0000"/>
        <rFont val="Calibri"/>
        <family val="2"/>
        <scheme val="minor"/>
      </rPr>
      <t>Loss</t>
    </r>
    <r>
      <rPr>
        <b/>
        <sz val="11"/>
        <color theme="1"/>
        <rFont val="Calibri"/>
        <family val="2"/>
        <scheme val="minor"/>
      </rPr>
      <t xml:space="preserve">             /Fruiting Acre</t>
    </r>
  </si>
  <si>
    <r>
      <t>Profit or</t>
    </r>
    <r>
      <rPr>
        <b/>
        <sz val="11"/>
        <color rgb="FFFF0000"/>
        <rFont val="Calibri"/>
        <family val="2"/>
        <scheme val="minor"/>
      </rPr>
      <t xml:space="preserve"> Loss</t>
    </r>
    <r>
      <rPr>
        <b/>
        <sz val="11"/>
        <color theme="1"/>
        <rFont val="Calibri"/>
        <family val="2"/>
        <scheme val="minor"/>
      </rPr>
      <t xml:space="preserve">                /Pound</t>
    </r>
  </si>
  <si>
    <r>
      <t>PROFIT/</t>
    </r>
    <r>
      <rPr>
        <b/>
        <sz val="11"/>
        <color rgb="FFFF0000"/>
        <rFont val="Calibri"/>
        <family val="2"/>
        <scheme val="minor"/>
      </rPr>
      <t>LOSS</t>
    </r>
  </si>
  <si>
    <t>Insecticides (e.g., Entrust)</t>
  </si>
  <si>
    <t>Tax for Wild Blueberries ($/lb - producer)</t>
  </si>
  <si>
    <t>Tax for Wild Blueberries ($/lb - processor)</t>
  </si>
  <si>
    <t>Packaging</t>
  </si>
  <si>
    <t xml:space="preserve">Sulfur - Assumes that sulfur is applied 1 in 7.5 years at rate of 0.413 ton per acre which equals 826 pounds per acre. </t>
  </si>
  <si>
    <t xml:space="preserve">   Weed Removal</t>
  </si>
  <si>
    <t xml:space="preserve">   Monitor and Set Traps</t>
  </si>
  <si>
    <t xml:space="preserve">   Harvest &amp; Transport (Hand Rake)</t>
  </si>
  <si>
    <t xml:space="preserve">   String Field / Manage Harvest (Hand Rake)</t>
  </si>
  <si>
    <t xml:space="preserve">   Fresh Pack Berries</t>
  </si>
  <si>
    <t xml:space="preserve">   Other(s) (                     )</t>
  </si>
  <si>
    <t>for crop equipment</t>
  </si>
  <si>
    <t>This budget calculates the revenues, variable and fixed costs and returns for a hypothetical Maine wild blueberry enterprise.  However, costs, yields, and returns will vary greatly across producers and locations.  Therefore, please use the budget as a template into which you can write figures specific to your own operation.  The budget assumes 15 acres of land in fruit in any given year. Total wild blueberry land includes 15 acres of land in prune in any given year for a total of 30 acres. Please update with your farm's figures if desired in yellow highlighted cells.</t>
  </si>
  <si>
    <t>Other Labor ($/hour)</t>
  </si>
  <si>
    <t>Hand Raking Labor ($/22-lb box)</t>
  </si>
  <si>
    <t>Interest on Operating Loan</t>
  </si>
  <si>
    <t>Testing (Soil &amp; Tissue )</t>
  </si>
  <si>
    <r>
      <t>Total Oil for Equipment</t>
    </r>
    <r>
      <rPr>
        <sz val="11"/>
        <color theme="1"/>
        <rFont val="Calibri"/>
        <family val="2"/>
        <scheme val="minor"/>
      </rPr>
      <t>:</t>
    </r>
  </si>
  <si>
    <t>Labor</t>
  </si>
  <si>
    <t>Hand Rake Labor ($/hour)</t>
  </si>
  <si>
    <t>Walk-behind Mechanized Raking Labor ($/hour)</t>
  </si>
  <si>
    <t>Mechanized Raking Labor ($/hour)</t>
  </si>
  <si>
    <r>
      <t>Labor Hours (</t>
    </r>
    <r>
      <rPr>
        <i/>
        <sz val="10"/>
        <color theme="1"/>
        <rFont val="Calibri"/>
        <family val="2"/>
        <scheme val="minor"/>
      </rPr>
      <t>Owner(s) &amp; Workers)</t>
    </r>
    <r>
      <rPr>
        <b/>
        <sz val="10"/>
        <color theme="1"/>
        <rFont val="Calibri"/>
        <family val="2"/>
        <scheme val="minor"/>
      </rPr>
      <t xml:space="preserve"> </t>
    </r>
  </si>
  <si>
    <t>Owner(s) Hours</t>
  </si>
  <si>
    <t>Paid Workers Hours</t>
  </si>
  <si>
    <t>Total Annual Hours</t>
  </si>
  <si>
    <r>
      <t>Profit or</t>
    </r>
    <r>
      <rPr>
        <b/>
        <sz val="11"/>
        <color rgb="FFFF0000"/>
        <rFont val="Calibri"/>
        <family val="2"/>
        <scheme val="minor"/>
      </rPr>
      <t xml:space="preserve"> Loss</t>
    </r>
    <r>
      <rPr>
        <b/>
        <sz val="11"/>
        <color theme="1"/>
        <rFont val="Calibri"/>
        <family val="2"/>
        <scheme val="minor"/>
      </rPr>
      <t xml:space="preserve">                /Hour</t>
    </r>
  </si>
  <si>
    <t xml:space="preserve">   Coordinate Pollination &amp; Rent Hives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</si>
</sst>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8" formatCode="&quot;$&quot;#,##0.00_);[Red]\(&quot;$&quot;#,##0.00\)"/>
    <numFmt numFmtId="164" formatCode="#,##0.0"/>
    <numFmt numFmtId="165" formatCode="#,##0.000"/>
    <numFmt numFmtId="166" formatCode="&quot;$&quot;#,##0.000_);[Red]\(&quot;$&quot;#,##0.000\)"/>
    <numFmt numFmtId="167" formatCode="&quot;$&quot;#,##0.0000_);[Red]\(&quot;$&quot;#,##0.0000\)"/>
    <numFmt numFmtId="168" formatCode="&quot;$&quot;#,##0.0_);[Red]\(&quot;$&quot;#,##0.0\)"/>
  </numFmts>
  <fonts count="29" x14ac:knownFonts="1">
    <font>
      <sz val="11"/>
      <color theme="1"/>
      <name val="Calibri"/>
      <family val="2"/>
      <scheme val="minor"/>
    </font>
    <font>
      <sz val="11"/>
      <color indexed="8"/>
      <name val="Calibri"/>
      <family val="2"/>
    </font>
    <font>
      <sz val="8"/>
      <name val="Calibri"/>
      <family val="2"/>
    </font>
    <font>
      <b/>
      <sz val="11"/>
      <color indexed="8"/>
      <name val="Calibri"/>
      <family val="2"/>
    </font>
    <font>
      <b/>
      <sz val="16"/>
      <color indexed="8"/>
      <name val="Calibri"/>
      <family val="2"/>
    </font>
    <font>
      <sz val="16"/>
      <color indexed="8"/>
      <name val="Calibri"/>
      <family val="2"/>
    </font>
    <font>
      <i/>
      <sz val="11"/>
      <color theme="1"/>
      <name val="Calibri"/>
      <family val="2"/>
      <scheme val="minor"/>
    </font>
    <font>
      <sz val="10"/>
      <color theme="1"/>
      <name val="Calibri"/>
      <family val="2"/>
      <scheme val="minor"/>
    </font>
    <font>
      <sz val="10"/>
      <color indexed="8"/>
      <name val="Calibri"/>
      <family val="2"/>
      <scheme val="minor"/>
    </font>
    <font>
      <b/>
      <sz val="10"/>
      <color theme="1"/>
      <name val="Calibri"/>
      <family val="2"/>
      <scheme val="minor"/>
    </font>
    <font>
      <i/>
      <sz val="10"/>
      <color theme="1"/>
      <name val="Calibri"/>
      <family val="2"/>
      <scheme val="minor"/>
    </font>
    <font>
      <sz val="14"/>
      <color indexed="8"/>
      <name val="Calibri"/>
      <family val="2"/>
      <scheme val="minor"/>
    </font>
    <font>
      <b/>
      <sz val="11"/>
      <color indexed="8"/>
      <name val="Calibri"/>
      <family val="2"/>
      <scheme val="minor"/>
    </font>
    <font>
      <sz val="11"/>
      <name val="Calibri"/>
      <family val="2"/>
      <scheme val="minor"/>
    </font>
    <font>
      <sz val="11"/>
      <color indexed="8"/>
      <name val="Calibri"/>
      <family val="2"/>
      <scheme val="minor"/>
    </font>
    <font>
      <b/>
      <i/>
      <sz val="10"/>
      <color theme="1"/>
      <name val="Calibri"/>
      <family val="2"/>
      <scheme val="minor"/>
    </font>
    <font>
      <i/>
      <sz val="10"/>
      <color theme="1"/>
      <name val="Calibri"/>
      <family val="2"/>
      <scheme val="minor"/>
    </font>
    <font>
      <b/>
      <i/>
      <sz val="10"/>
      <color theme="1"/>
      <name val="Calibri"/>
      <family val="2"/>
      <scheme val="minor"/>
    </font>
    <font>
      <b/>
      <sz val="10"/>
      <color indexed="8"/>
      <name val="Calibri"/>
      <family val="2"/>
    </font>
    <font>
      <sz val="10"/>
      <color indexed="8"/>
      <name val="Calibri"/>
      <family val="2"/>
    </font>
    <font>
      <sz val="11"/>
      <name val="Calibri"/>
      <family val="2"/>
    </font>
    <font>
      <b/>
      <i/>
      <sz val="10"/>
      <color indexed="8"/>
      <name val="Calibri"/>
      <family val="2"/>
    </font>
    <font>
      <sz val="10"/>
      <name val="Arial"/>
      <family val="2"/>
    </font>
    <font>
      <b/>
      <sz val="11"/>
      <color theme="1"/>
      <name val="Calibri"/>
      <family val="2"/>
      <scheme val="minor"/>
    </font>
    <font>
      <u/>
      <sz val="10"/>
      <color indexed="8"/>
      <name val="Calibri"/>
      <family val="2"/>
      <scheme val="minor"/>
    </font>
    <font>
      <u/>
      <sz val="11"/>
      <color theme="1"/>
      <name val="Calibri"/>
      <family val="2"/>
      <scheme val="minor"/>
    </font>
    <font>
      <b/>
      <sz val="9"/>
      <color indexed="81"/>
      <name val="Tahoma"/>
      <family val="2"/>
    </font>
    <font>
      <b/>
      <sz val="11"/>
      <color rgb="FFFF0000"/>
      <name val="Calibri"/>
      <family val="2"/>
      <scheme val="minor"/>
    </font>
    <font>
      <u/>
      <sz val="10"/>
      <color theme="1"/>
      <name val="Calibri"/>
      <family val="2"/>
      <scheme val="minor"/>
    </font>
  </fonts>
  <fills count="3">
    <fill>
      <patternFill patternType="none"/>
    </fill>
    <fill>
      <patternFill patternType="gray125"/>
    </fill>
    <fill>
      <patternFill patternType="solid">
        <fgColor rgb="FFFFFFCC"/>
        <bgColor indexed="64"/>
      </patternFill>
    </fill>
  </fills>
  <borders count="14">
    <border>
      <left/>
      <right/>
      <top/>
      <bottom/>
      <diagonal/>
    </border>
    <border>
      <left/>
      <right/>
      <top style="thin">
        <color auto="1"/>
      </top>
      <bottom style="thin">
        <color auto="1"/>
      </bottom>
      <diagonal/>
    </border>
    <border>
      <left/>
      <right/>
      <top/>
      <bottom style="hair">
        <color auto="1"/>
      </bottom>
      <diagonal/>
    </border>
    <border>
      <left/>
      <right/>
      <top/>
      <bottom style="thin">
        <color auto="1"/>
      </bottom>
      <diagonal/>
    </border>
    <border>
      <left/>
      <right/>
      <top style="hair">
        <color auto="1"/>
      </top>
      <bottom style="hair">
        <color auto="1"/>
      </bottom>
      <diagonal/>
    </border>
    <border>
      <left/>
      <right/>
      <top style="medium">
        <color auto="1"/>
      </top>
      <bottom style="medium">
        <color auto="1"/>
      </bottom>
      <diagonal/>
    </border>
    <border>
      <left/>
      <right/>
      <top style="hair">
        <color auto="1"/>
      </top>
      <bottom/>
      <diagonal/>
    </border>
    <border>
      <left/>
      <right/>
      <top/>
      <bottom style="double">
        <color auto="1"/>
      </bottom>
      <diagonal/>
    </border>
    <border>
      <left/>
      <right/>
      <top style="double">
        <color auto="1"/>
      </top>
      <bottom style="thin">
        <color auto="1"/>
      </bottom>
      <diagonal/>
    </border>
    <border>
      <left/>
      <right/>
      <top/>
      <bottom style="medium">
        <color auto="1"/>
      </bottom>
      <diagonal/>
    </border>
    <border>
      <left/>
      <right/>
      <top style="medium">
        <color auto="1"/>
      </top>
      <bottom style="double">
        <color indexed="64"/>
      </bottom>
      <diagonal/>
    </border>
    <border>
      <left/>
      <right/>
      <top style="thin">
        <color auto="1"/>
      </top>
      <bottom style="medium">
        <color indexed="64"/>
      </bottom>
      <diagonal/>
    </border>
    <border>
      <left/>
      <right/>
      <top style="hair">
        <color indexed="64"/>
      </top>
      <bottom style="thin">
        <color indexed="64"/>
      </bottom>
      <diagonal/>
    </border>
    <border>
      <left/>
      <right/>
      <top style="medium">
        <color auto="1"/>
      </top>
      <bottom/>
      <diagonal/>
    </border>
  </borders>
  <cellStyleXfs count="2">
    <xf numFmtId="0" fontId="0" fillId="0" borderId="0"/>
    <xf numFmtId="0" fontId="22" fillId="0" borderId="0"/>
  </cellStyleXfs>
  <cellXfs count="177">
    <xf numFmtId="0" fontId="0" fillId="0" borderId="0" xfId="0"/>
    <xf numFmtId="0" fontId="3" fillId="0" borderId="0" xfId="0" applyFont="1"/>
    <xf numFmtId="2" fontId="0" fillId="0" borderId="0" xfId="0" applyNumberFormat="1"/>
    <xf numFmtId="0" fontId="5" fillId="0" borderId="0" xfId="0" applyFont="1"/>
    <xf numFmtId="0" fontId="0" fillId="0" borderId="0" xfId="0"/>
    <xf numFmtId="0" fontId="7" fillId="0" borderId="0" xfId="0" applyFont="1" applyAlignment="1">
      <alignment vertical="center"/>
    </xf>
    <xf numFmtId="0" fontId="0" fillId="0" borderId="0" xfId="0" applyFont="1"/>
    <xf numFmtId="0" fontId="9" fillId="0" borderId="0" xfId="0" applyFont="1" applyAlignment="1">
      <alignment vertical="center"/>
    </xf>
    <xf numFmtId="0" fontId="8" fillId="0" borderId="0" xfId="0" applyFont="1" applyBorder="1"/>
    <xf numFmtId="0" fontId="7" fillId="0" borderId="0" xfId="0" applyFont="1" applyAlignment="1">
      <alignment horizontal="left" vertical="center" indent="1"/>
    </xf>
    <xf numFmtId="0" fontId="8" fillId="0" borderId="6" xfId="0" applyFont="1" applyBorder="1"/>
    <xf numFmtId="2" fontId="0" fillId="0" borderId="0" xfId="0" applyNumberFormat="1" applyFont="1"/>
    <xf numFmtId="2" fontId="0" fillId="0" borderId="0" xfId="0" applyNumberFormat="1" applyFont="1" applyAlignment="1"/>
    <xf numFmtId="0" fontId="11" fillId="0" borderId="0" xfId="0" applyFont="1"/>
    <xf numFmtId="0" fontId="12" fillId="0" borderId="0" xfId="0" applyFont="1"/>
    <xf numFmtId="0" fontId="8" fillId="0" borderId="0" xfId="0" applyFont="1"/>
    <xf numFmtId="0" fontId="12" fillId="0" borderId="0" xfId="0" applyFont="1" applyAlignment="1">
      <alignment horizontal="left" vertical="top"/>
    </xf>
    <xf numFmtId="0" fontId="0" fillId="0" borderId="0" xfId="0" applyFont="1" applyAlignment="1">
      <alignment horizontal="left" vertical="top"/>
    </xf>
    <xf numFmtId="8" fontId="7" fillId="0" borderId="0" xfId="0" applyNumberFormat="1" applyFont="1" applyAlignment="1">
      <alignment vertical="center"/>
    </xf>
    <xf numFmtId="0" fontId="9" fillId="0" borderId="5" xfId="0" applyFont="1" applyBorder="1" applyAlignment="1">
      <alignment vertical="center"/>
    </xf>
    <xf numFmtId="0" fontId="9" fillId="0" borderId="5"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Alignment="1">
      <alignment vertical="center"/>
    </xf>
    <xf numFmtId="0" fontId="9" fillId="0" borderId="9" xfId="0" applyFont="1" applyBorder="1" applyAlignment="1">
      <alignment vertical="center"/>
    </xf>
    <xf numFmtId="0" fontId="0" fillId="0" borderId="7" xfId="0" applyFont="1" applyBorder="1"/>
    <xf numFmtId="0" fontId="8" fillId="0" borderId="9" xfId="0" applyFont="1" applyBorder="1"/>
    <xf numFmtId="0" fontId="0" fillId="0" borderId="10" xfId="0" applyFont="1" applyBorder="1"/>
    <xf numFmtId="0" fontId="16" fillId="0" borderId="0" xfId="0" applyFont="1" applyAlignment="1">
      <alignment vertical="center"/>
    </xf>
    <xf numFmtId="0" fontId="17" fillId="0" borderId="0" xfId="0" applyFont="1" applyAlignment="1">
      <alignment vertical="center"/>
    </xf>
    <xf numFmtId="0" fontId="7" fillId="0" borderId="9" xfId="0" applyFont="1" applyBorder="1" applyAlignment="1">
      <alignment vertical="center"/>
    </xf>
    <xf numFmtId="0" fontId="8" fillId="0" borderId="9" xfId="0" applyFont="1" applyBorder="1" applyAlignment="1">
      <alignment horizontal="center" wrapText="1"/>
    </xf>
    <xf numFmtId="2" fontId="0" fillId="0" borderId="0" xfId="0" applyNumberFormat="1" applyFont="1" applyAlignment="1">
      <alignment horizontal="right"/>
    </xf>
    <xf numFmtId="0" fontId="18" fillId="0" borderId="1" xfId="0" applyFont="1" applyBorder="1" applyAlignment="1">
      <alignment wrapText="1"/>
    </xf>
    <xf numFmtId="0" fontId="12" fillId="0" borderId="0" xfId="0" applyFont="1" applyAlignment="1"/>
    <xf numFmtId="0" fontId="19" fillId="0" borderId="3" xfId="0" applyFont="1" applyBorder="1"/>
    <xf numFmtId="0" fontId="0" fillId="0" borderId="3" xfId="0" applyFont="1" applyBorder="1"/>
    <xf numFmtId="0" fontId="8" fillId="0" borderId="1" xfId="0" applyFont="1" applyBorder="1" applyAlignment="1">
      <alignment horizontal="center" wrapText="1"/>
    </xf>
    <xf numFmtId="0" fontId="0" fillId="0" borderId="0" xfId="0" applyFont="1" applyBorder="1"/>
    <xf numFmtId="0" fontId="19" fillId="0" borderId="0" xfId="0" applyFont="1" applyAlignment="1">
      <alignment horizontal="left" vertical="center" indent="1"/>
    </xf>
    <xf numFmtId="0" fontId="7" fillId="0" borderId="0" xfId="0" applyFont="1" applyAlignment="1">
      <alignment horizontal="left" vertical="center" indent="2"/>
    </xf>
    <xf numFmtId="0" fontId="9" fillId="0" borderId="9" xfId="0" applyFont="1" applyBorder="1" applyAlignment="1">
      <alignment horizontal="left" vertical="center"/>
    </xf>
    <xf numFmtId="0" fontId="9" fillId="0" borderId="0" xfId="0" applyFont="1" applyBorder="1" applyAlignment="1">
      <alignment vertical="center"/>
    </xf>
    <xf numFmtId="0" fontId="9" fillId="0" borderId="0" xfId="0" applyFont="1" applyFill="1" applyBorder="1" applyAlignment="1">
      <alignment vertical="center"/>
    </xf>
    <xf numFmtId="0" fontId="0" fillId="0" borderId="0" xfId="0" applyFont="1" applyAlignment="1">
      <alignment horizontal="right"/>
    </xf>
    <xf numFmtId="0" fontId="8" fillId="0" borderId="3" xfId="0" applyFont="1" applyBorder="1"/>
    <xf numFmtId="0" fontId="0" fillId="0" borderId="0" xfId="0" applyAlignment="1">
      <alignment vertical="top"/>
    </xf>
    <xf numFmtId="0" fontId="7" fillId="0" borderId="9" xfId="0" applyFont="1" applyBorder="1" applyAlignment="1">
      <alignment horizontal="right" vertical="center" wrapText="1"/>
    </xf>
    <xf numFmtId="6" fontId="9" fillId="0" borderId="0" xfId="0" applyNumberFormat="1" applyFont="1" applyAlignment="1">
      <alignment horizontal="right" vertical="center"/>
    </xf>
    <xf numFmtId="8" fontId="9" fillId="0" borderId="0" xfId="0" applyNumberFormat="1" applyFont="1" applyAlignment="1">
      <alignment horizontal="right" vertical="center"/>
    </xf>
    <xf numFmtId="0" fontId="7" fillId="0" borderId="5" xfId="0" applyFont="1" applyBorder="1" applyAlignment="1">
      <alignment horizontal="right"/>
    </xf>
    <xf numFmtId="0" fontId="7" fillId="0" borderId="5" xfId="0" applyFont="1" applyBorder="1" applyAlignment="1">
      <alignment horizontal="right" vertical="center" wrapText="1"/>
    </xf>
    <xf numFmtId="0" fontId="7" fillId="0" borderId="0" xfId="0" applyFont="1" applyBorder="1" applyAlignment="1">
      <alignment horizontal="right"/>
    </xf>
    <xf numFmtId="0" fontId="7" fillId="0" borderId="0" xfId="0" applyNumberFormat="1" applyFont="1" applyAlignment="1">
      <alignment horizontal="right" vertical="center"/>
    </xf>
    <xf numFmtId="6" fontId="7" fillId="0" borderId="0" xfId="0" applyNumberFormat="1" applyFont="1" applyAlignment="1">
      <alignment horizontal="right" vertical="center"/>
    </xf>
    <xf numFmtId="6" fontId="9" fillId="0" borderId="9" xfId="0" applyNumberFormat="1" applyFont="1" applyBorder="1" applyAlignment="1">
      <alignment horizontal="right" vertical="center"/>
    </xf>
    <xf numFmtId="0" fontId="0" fillId="0" borderId="9" xfId="0" applyFont="1" applyBorder="1" applyAlignment="1">
      <alignment horizontal="right"/>
    </xf>
    <xf numFmtId="8" fontId="9" fillId="0" borderId="9" xfId="0" applyNumberFormat="1" applyFont="1" applyBorder="1" applyAlignment="1">
      <alignment horizontal="right" vertical="center"/>
    </xf>
    <xf numFmtId="6" fontId="9" fillId="0" borderId="5" xfId="0" applyNumberFormat="1" applyFont="1" applyBorder="1" applyAlignment="1">
      <alignment horizontal="right" vertical="center"/>
    </xf>
    <xf numFmtId="0" fontId="0" fillId="0" borderId="5" xfId="0" applyFont="1" applyBorder="1" applyAlignment="1">
      <alignment horizontal="right"/>
    </xf>
    <xf numFmtId="8" fontId="9" fillId="0" borderId="5" xfId="0" applyNumberFormat="1" applyFont="1" applyBorder="1" applyAlignment="1">
      <alignment horizontal="right" vertical="center"/>
    </xf>
    <xf numFmtId="6" fontId="9" fillId="0" borderId="0" xfId="0" applyNumberFormat="1" applyFont="1" applyBorder="1" applyAlignment="1">
      <alignment horizontal="right" vertical="center"/>
    </xf>
    <xf numFmtId="0" fontId="0" fillId="0" borderId="0" xfId="0" applyFont="1" applyBorder="1" applyAlignment="1">
      <alignment horizontal="right"/>
    </xf>
    <xf numFmtId="8" fontId="9" fillId="0" borderId="0" xfId="0" applyNumberFormat="1" applyFont="1" applyBorder="1" applyAlignment="1">
      <alignment horizontal="right" vertical="center"/>
    </xf>
    <xf numFmtId="0" fontId="0" fillId="0" borderId="7" xfId="0" applyFont="1" applyBorder="1" applyAlignment="1">
      <alignment horizontal="right"/>
    </xf>
    <xf numFmtId="0" fontId="0" fillId="0" borderId="0" xfId="0" applyAlignment="1">
      <alignment horizontal="right"/>
    </xf>
    <xf numFmtId="0" fontId="19" fillId="0" borderId="1" xfId="0" applyFont="1" applyBorder="1" applyAlignment="1">
      <alignment horizontal="right" vertical="center" wrapText="1"/>
    </xf>
    <xf numFmtId="8" fontId="7" fillId="0" borderId="3" xfId="0" applyNumberFormat="1" applyFont="1" applyBorder="1" applyAlignment="1">
      <alignment horizontal="right" vertical="center"/>
    </xf>
    <xf numFmtId="8" fontId="9" fillId="0" borderId="3" xfId="0" applyNumberFormat="1" applyFont="1" applyBorder="1" applyAlignment="1">
      <alignment horizontal="right" vertical="center"/>
    </xf>
    <xf numFmtId="8" fontId="7" fillId="0" borderId="0" xfId="0" applyNumberFormat="1" applyFont="1" applyAlignment="1">
      <alignment horizontal="right" vertical="center"/>
    </xf>
    <xf numFmtId="0" fontId="19" fillId="0" borderId="0" xfId="0" applyFont="1" applyFill="1" applyBorder="1"/>
    <xf numFmtId="0" fontId="0" fillId="0" borderId="0" xfId="0" applyAlignment="1">
      <alignment wrapText="1"/>
    </xf>
    <xf numFmtId="0" fontId="13" fillId="0" borderId="0" xfId="0" applyFont="1" applyFill="1" applyAlignment="1">
      <alignment vertical="top" wrapText="1"/>
    </xf>
    <xf numFmtId="0" fontId="0" fillId="0" borderId="0" xfId="0" applyFont="1" applyAlignment="1">
      <alignment vertical="top" wrapText="1"/>
    </xf>
    <xf numFmtId="8" fontId="7" fillId="0" borderId="0" xfId="0" applyNumberFormat="1" applyFont="1" applyAlignment="1">
      <alignment horizontal="center" vertical="center"/>
    </xf>
    <xf numFmtId="0" fontId="7" fillId="0" borderId="3" xfId="0" applyFont="1" applyBorder="1" applyAlignment="1">
      <alignment horizontal="center" vertical="center"/>
    </xf>
    <xf numFmtId="6" fontId="7" fillId="0" borderId="0" xfId="0" applyNumberFormat="1" applyFont="1" applyAlignment="1">
      <alignment horizontal="center" vertical="center"/>
    </xf>
    <xf numFmtId="0" fontId="23" fillId="0" borderId="0" xfId="0" applyFont="1" applyAlignment="1">
      <alignment horizontal="right"/>
    </xf>
    <xf numFmtId="8" fontId="0" fillId="0" borderId="0" xfId="0" applyNumberFormat="1" applyFont="1"/>
    <xf numFmtId="0" fontId="0" fillId="0" borderId="0" xfId="0" applyFont="1" applyAlignment="1">
      <alignment vertical="top" wrapText="1"/>
    </xf>
    <xf numFmtId="3" fontId="7" fillId="0" borderId="0" xfId="0" applyNumberFormat="1" applyFont="1" applyAlignment="1">
      <alignment horizontal="center" vertical="center"/>
    </xf>
    <xf numFmtId="3" fontId="7" fillId="0" borderId="3" xfId="0" applyNumberFormat="1" applyFont="1" applyBorder="1" applyAlignment="1">
      <alignment horizontal="center" vertical="center"/>
    </xf>
    <xf numFmtId="8" fontId="7" fillId="0" borderId="0" xfId="0" applyNumberFormat="1" applyFont="1" applyFill="1" applyAlignment="1">
      <alignment horizontal="right" vertical="center"/>
    </xf>
    <xf numFmtId="8" fontId="7" fillId="0" borderId="13" xfId="0" applyNumberFormat="1" applyFont="1" applyBorder="1" applyAlignment="1">
      <alignment horizontal="right" vertical="center"/>
    </xf>
    <xf numFmtId="0" fontId="7" fillId="0" borderId="9" xfId="0" applyFont="1" applyFill="1" applyBorder="1" applyAlignment="1">
      <alignment horizontal="right" vertical="center" wrapText="1"/>
    </xf>
    <xf numFmtId="8" fontId="7" fillId="0" borderId="3" xfId="0" applyNumberFormat="1" applyFont="1" applyFill="1" applyBorder="1" applyAlignment="1">
      <alignment horizontal="right" vertical="center"/>
    </xf>
    <xf numFmtId="0" fontId="0" fillId="0" borderId="0" xfId="0" applyFont="1" applyFill="1" applyAlignment="1">
      <alignment horizontal="right"/>
    </xf>
    <xf numFmtId="0" fontId="7" fillId="0" borderId="5" xfId="0" applyFont="1" applyFill="1" applyBorder="1" applyAlignment="1">
      <alignment horizontal="right"/>
    </xf>
    <xf numFmtId="0" fontId="7" fillId="0" borderId="0" xfId="0" applyFont="1" applyFill="1" applyBorder="1" applyAlignment="1">
      <alignment horizontal="right"/>
    </xf>
    <xf numFmtId="6" fontId="7" fillId="0" borderId="0" xfId="0" applyNumberFormat="1" applyFont="1" applyFill="1" applyAlignment="1">
      <alignment horizontal="right" vertical="center"/>
    </xf>
    <xf numFmtId="0" fontId="6" fillId="0" borderId="0" xfId="0" applyFont="1" applyFill="1" applyAlignment="1">
      <alignment horizontal="right" vertical="center"/>
    </xf>
    <xf numFmtId="0" fontId="0" fillId="0" borderId="9" xfId="0" applyFont="1" applyFill="1" applyBorder="1" applyAlignment="1">
      <alignment horizontal="right"/>
    </xf>
    <xf numFmtId="0" fontId="0" fillId="0" borderId="5" xfId="0" applyFont="1" applyFill="1" applyBorder="1" applyAlignment="1">
      <alignment horizontal="right"/>
    </xf>
    <xf numFmtId="0" fontId="0" fillId="0" borderId="0" xfId="0" applyFont="1" applyFill="1" applyBorder="1" applyAlignment="1">
      <alignment horizontal="right"/>
    </xf>
    <xf numFmtId="0" fontId="0" fillId="0" borderId="0" xfId="0" applyFill="1" applyAlignment="1">
      <alignment horizontal="right"/>
    </xf>
    <xf numFmtId="0" fontId="0" fillId="0" borderId="7" xfId="0" applyFont="1" applyFill="1" applyBorder="1" applyAlignment="1">
      <alignment horizontal="right"/>
    </xf>
    <xf numFmtId="0" fontId="0" fillId="0" borderId="0" xfId="0" applyFont="1" applyFill="1" applyAlignment="1"/>
    <xf numFmtId="0" fontId="0" fillId="0" borderId="0" xfId="0" applyFill="1"/>
    <xf numFmtId="0" fontId="0" fillId="0" borderId="0" xfId="0" applyFont="1" applyFill="1"/>
    <xf numFmtId="0" fontId="0" fillId="0" borderId="0" xfId="0" applyFont="1" applyFill="1" applyAlignment="1">
      <alignment vertical="top" wrapText="1"/>
    </xf>
    <xf numFmtId="0" fontId="19" fillId="0" borderId="1" xfId="0" applyFont="1" applyFill="1" applyBorder="1" applyAlignment="1">
      <alignment horizontal="right" vertical="center" wrapText="1"/>
    </xf>
    <xf numFmtId="0" fontId="0" fillId="0" borderId="0" xfId="0" applyFont="1" applyFill="1" applyBorder="1"/>
    <xf numFmtId="8" fontId="0" fillId="0" borderId="0" xfId="0" applyNumberFormat="1" applyFont="1" applyAlignment="1">
      <alignment horizontal="right"/>
    </xf>
    <xf numFmtId="8" fontId="0" fillId="0" borderId="9" xfId="0" applyNumberFormat="1" applyFont="1" applyBorder="1" applyAlignment="1">
      <alignment horizontal="right"/>
    </xf>
    <xf numFmtId="166" fontId="7" fillId="0" borderId="0" xfId="0" applyNumberFormat="1" applyFont="1" applyAlignment="1">
      <alignment horizontal="right" vertical="center"/>
    </xf>
    <xf numFmtId="0" fontId="7" fillId="0" borderId="5" xfId="0" applyFont="1" applyBorder="1" applyAlignment="1">
      <alignment horizontal="right" vertical="center"/>
    </xf>
    <xf numFmtId="0" fontId="7" fillId="0" borderId="5" xfId="0" applyFont="1" applyBorder="1" applyAlignment="1">
      <alignment horizontal="center" vertical="center"/>
    </xf>
    <xf numFmtId="8" fontId="7" fillId="0" borderId="3" xfId="0" applyNumberFormat="1" applyFont="1" applyBorder="1" applyAlignment="1">
      <alignment horizontal="center" vertical="center"/>
    </xf>
    <xf numFmtId="6" fontId="7" fillId="0" borderId="0" xfId="0" applyNumberFormat="1" applyFont="1" applyBorder="1" applyAlignment="1">
      <alignment horizontal="center" vertical="center"/>
    </xf>
    <xf numFmtId="8" fontId="7" fillId="0" borderId="0" xfId="0" applyNumberFormat="1" applyFont="1" applyBorder="1" applyAlignment="1">
      <alignment horizontal="right" vertical="center"/>
    </xf>
    <xf numFmtId="167" fontId="7" fillId="0" borderId="0" xfId="0" applyNumberFormat="1" applyFont="1" applyAlignment="1">
      <alignment horizontal="right" vertical="center"/>
    </xf>
    <xf numFmtId="8" fontId="7" fillId="0" borderId="0" xfId="0" applyNumberFormat="1" applyFont="1" applyBorder="1" applyAlignment="1">
      <alignment horizontal="center" vertical="center"/>
    </xf>
    <xf numFmtId="166" fontId="7" fillId="0" borderId="0" xfId="0" applyNumberFormat="1" applyFont="1" applyBorder="1" applyAlignment="1">
      <alignment horizontal="right" vertical="center"/>
    </xf>
    <xf numFmtId="0" fontId="7" fillId="0" borderId="0" xfId="0" applyFont="1" applyAlignment="1">
      <alignment horizontal="right"/>
    </xf>
    <xf numFmtId="0" fontId="8" fillId="0" borderId="5" xfId="0" applyFont="1" applyBorder="1" applyAlignment="1">
      <alignment horizontal="center" wrapText="1"/>
    </xf>
    <xf numFmtId="3" fontId="7" fillId="0" borderId="0" xfId="0" applyNumberFormat="1" applyFont="1" applyFill="1" applyAlignment="1">
      <alignment horizontal="right" vertical="center"/>
    </xf>
    <xf numFmtId="0" fontId="24" fillId="0" borderId="0" xfId="0" applyFont="1"/>
    <xf numFmtId="0" fontId="7" fillId="0" borderId="9" xfId="0" applyFont="1" applyBorder="1" applyAlignment="1">
      <alignment horizontal="center" vertical="center" wrapText="1"/>
    </xf>
    <xf numFmtId="6" fontId="7" fillId="0" borderId="13" xfId="0" applyNumberFormat="1" applyFont="1" applyBorder="1" applyAlignment="1">
      <alignment horizontal="right" vertical="center"/>
    </xf>
    <xf numFmtId="6" fontId="7" fillId="0" borderId="3" xfId="0" applyNumberFormat="1" applyFont="1" applyBorder="1" applyAlignment="1">
      <alignment horizontal="right" vertical="center"/>
    </xf>
    <xf numFmtId="8" fontId="10" fillId="0" borderId="0" xfId="0" applyNumberFormat="1" applyFont="1" applyAlignment="1">
      <alignment horizontal="right" vertical="center"/>
    </xf>
    <xf numFmtId="6" fontId="10" fillId="0" borderId="0" xfId="0" applyNumberFormat="1" applyFont="1" applyAlignment="1">
      <alignment horizontal="right" vertical="center"/>
    </xf>
    <xf numFmtId="0" fontId="25" fillId="0" borderId="0" xfId="0" applyFont="1" applyAlignment="1">
      <alignment horizontal="right"/>
    </xf>
    <xf numFmtId="0" fontId="18" fillId="0" borderId="1" xfId="0" applyFont="1" applyBorder="1" applyAlignment="1">
      <alignment horizontal="right" wrapText="1"/>
    </xf>
    <xf numFmtId="8" fontId="7" fillId="0" borderId="0" xfId="0" applyNumberFormat="1" applyFont="1" applyFill="1" applyBorder="1" applyAlignment="1">
      <alignment horizontal="right" vertical="center"/>
    </xf>
    <xf numFmtId="0" fontId="7" fillId="2" borderId="3" xfId="0" applyFont="1" applyFill="1" applyBorder="1" applyAlignment="1" applyProtection="1">
      <alignment vertical="center"/>
      <protection locked="0"/>
    </xf>
    <xf numFmtId="3" fontId="7" fillId="2" borderId="0" xfId="0" applyNumberFormat="1" applyFont="1" applyFill="1" applyAlignment="1" applyProtection="1">
      <alignment horizontal="right" vertical="center"/>
      <protection locked="0"/>
    </xf>
    <xf numFmtId="3" fontId="7" fillId="2" borderId="3" xfId="0" applyNumberFormat="1" applyFont="1" applyFill="1" applyBorder="1" applyAlignment="1" applyProtection="1">
      <alignment horizontal="right" vertical="center"/>
      <protection locked="0"/>
    </xf>
    <xf numFmtId="8" fontId="7" fillId="2" borderId="0" xfId="0" applyNumberFormat="1" applyFont="1" applyFill="1" applyAlignment="1" applyProtection="1">
      <alignment horizontal="right" vertical="center"/>
      <protection locked="0"/>
    </xf>
    <xf numFmtId="8" fontId="7" fillId="2" borderId="3" xfId="0" applyNumberFormat="1" applyFont="1" applyFill="1" applyBorder="1" applyAlignment="1" applyProtection="1">
      <alignment horizontal="right" vertical="center"/>
      <protection locked="0"/>
    </xf>
    <xf numFmtId="0" fontId="8" fillId="2" borderId="2" xfId="0" applyFont="1" applyFill="1" applyBorder="1" applyProtection="1">
      <protection locked="0"/>
    </xf>
    <xf numFmtId="6" fontId="7" fillId="2" borderId="0" xfId="0" applyNumberFormat="1" applyFont="1" applyFill="1" applyAlignment="1" applyProtection="1">
      <alignment horizontal="right" vertical="center"/>
      <protection locked="0"/>
    </xf>
    <xf numFmtId="165" fontId="7" fillId="2" borderId="0" xfId="0" applyNumberFormat="1" applyFont="1" applyFill="1" applyAlignment="1" applyProtection="1">
      <alignment horizontal="right" vertical="center"/>
      <protection locked="0"/>
    </xf>
    <xf numFmtId="164" fontId="7" fillId="2" borderId="0" xfId="0" applyNumberFormat="1" applyFont="1" applyFill="1" applyAlignment="1" applyProtection="1">
      <alignment horizontal="right" vertical="center"/>
      <protection locked="0"/>
    </xf>
    <xf numFmtId="4" fontId="7" fillId="2" borderId="0" xfId="0" applyNumberFormat="1" applyFont="1" applyFill="1" applyAlignment="1" applyProtection="1">
      <alignment horizontal="right" vertical="center"/>
      <protection locked="0"/>
    </xf>
    <xf numFmtId="0" fontId="8" fillId="2" borderId="3" xfId="0" applyFont="1" applyFill="1" applyBorder="1" applyProtection="1">
      <protection locked="0"/>
    </xf>
    <xf numFmtId="0" fontId="8" fillId="2" borderId="4" xfId="0" applyFont="1" applyFill="1" applyBorder="1" applyProtection="1">
      <protection locked="0"/>
    </xf>
    <xf numFmtId="0" fontId="8" fillId="2" borderId="12" xfId="0" applyFont="1" applyFill="1" applyBorder="1" applyProtection="1">
      <protection locked="0"/>
    </xf>
    <xf numFmtId="0" fontId="8" fillId="2" borderId="0" xfId="0" applyFont="1" applyFill="1" applyBorder="1" applyProtection="1">
      <protection locked="0"/>
    </xf>
    <xf numFmtId="0" fontId="0" fillId="2" borderId="12" xfId="0" applyFont="1" applyFill="1" applyBorder="1" applyProtection="1">
      <protection locked="0"/>
    </xf>
    <xf numFmtId="8" fontId="23" fillId="0" borderId="0" xfId="0" applyNumberFormat="1" applyFont="1" applyAlignment="1">
      <alignment horizontal="right" vertical="center"/>
    </xf>
    <xf numFmtId="8" fontId="23" fillId="0" borderId="9" xfId="0" applyNumberFormat="1" applyFont="1" applyBorder="1" applyAlignment="1">
      <alignment horizontal="right" vertical="center"/>
    </xf>
    <xf numFmtId="0" fontId="23" fillId="0" borderId="0" xfId="0" applyFont="1" applyAlignment="1">
      <alignment horizontal="right" wrapText="1"/>
    </xf>
    <xf numFmtId="6" fontId="23" fillId="0" borderId="0" xfId="0" applyNumberFormat="1" applyFont="1" applyAlignment="1">
      <alignment horizontal="right" vertical="center"/>
    </xf>
    <xf numFmtId="6" fontId="23" fillId="0" borderId="9" xfId="0" applyNumberFormat="1" applyFont="1" applyBorder="1" applyAlignment="1">
      <alignment horizontal="right" vertical="center"/>
    </xf>
    <xf numFmtId="168" fontId="7" fillId="0" borderId="0" xfId="0" applyNumberFormat="1" applyFont="1" applyAlignment="1">
      <alignment horizontal="right" vertical="center"/>
    </xf>
    <xf numFmtId="167" fontId="7" fillId="2" borderId="0" xfId="0" applyNumberFormat="1" applyFont="1" applyFill="1" applyAlignment="1" applyProtection="1">
      <alignment horizontal="right" vertical="center"/>
      <protection locked="0"/>
    </xf>
    <xf numFmtId="6" fontId="7" fillId="0" borderId="0" xfId="0" applyNumberFormat="1" applyFont="1" applyBorder="1" applyAlignment="1">
      <alignment horizontal="right" vertical="center"/>
    </xf>
    <xf numFmtId="0" fontId="7" fillId="2" borderId="0" xfId="0" applyFont="1" applyFill="1" applyBorder="1" applyAlignment="1" applyProtection="1">
      <alignment vertical="center"/>
      <protection locked="0"/>
    </xf>
    <xf numFmtId="0" fontId="10" fillId="0" borderId="0" xfId="0" applyFont="1" applyAlignment="1">
      <alignment vertical="center"/>
    </xf>
    <xf numFmtId="166" fontId="7" fillId="0" borderId="3" xfId="0" applyNumberFormat="1" applyFont="1" applyBorder="1" applyAlignment="1">
      <alignment horizontal="right" vertical="center"/>
    </xf>
    <xf numFmtId="8" fontId="7" fillId="0" borderId="0" xfId="0" applyNumberFormat="1" applyFont="1" applyFill="1" applyAlignment="1" applyProtection="1">
      <alignment horizontal="right" vertical="center"/>
    </xf>
    <xf numFmtId="0" fontId="8" fillId="0" borderId="0" xfId="0" applyFont="1" applyFill="1" applyBorder="1" applyProtection="1"/>
    <xf numFmtId="0" fontId="9" fillId="0" borderId="0" xfId="0" applyFont="1" applyAlignment="1">
      <alignment horizontal="right" vertical="center"/>
    </xf>
    <xf numFmtId="3" fontId="9" fillId="2" borderId="0" xfId="0" applyNumberFormat="1" applyFont="1" applyFill="1" applyAlignment="1" applyProtection="1">
      <alignment horizontal="left" vertical="center"/>
      <protection locked="0"/>
    </xf>
    <xf numFmtId="0" fontId="28" fillId="0" borderId="0" xfId="0" applyFont="1" applyAlignment="1">
      <alignment horizontal="center"/>
    </xf>
    <xf numFmtId="0" fontId="7" fillId="0" borderId="0" xfId="0" applyFont="1"/>
    <xf numFmtId="0" fontId="7" fillId="0" borderId="0" xfId="0" applyFont="1" applyAlignment="1">
      <alignment horizontal="right" vertical="center" indent="1"/>
    </xf>
    <xf numFmtId="164" fontId="7" fillId="2" borderId="0" xfId="0" applyNumberFormat="1" applyFont="1" applyFill="1" applyAlignment="1" applyProtection="1">
      <alignment horizontal="center" vertical="center"/>
      <protection locked="0"/>
    </xf>
    <xf numFmtId="3" fontId="7" fillId="2" borderId="0" xfId="0" applyNumberFormat="1" applyFont="1" applyFill="1" applyAlignment="1" applyProtection="1">
      <alignment horizontal="center" vertical="center"/>
      <protection locked="0"/>
    </xf>
    <xf numFmtId="6" fontId="0" fillId="0" borderId="0" xfId="0" applyNumberFormat="1" applyFont="1" applyFill="1" applyAlignment="1" applyProtection="1">
      <alignment horizontal="right" vertical="center"/>
    </xf>
    <xf numFmtId="6" fontId="7" fillId="0" borderId="0" xfId="0" applyNumberFormat="1" applyFont="1" applyFill="1" applyBorder="1" applyAlignment="1">
      <alignment horizontal="right" vertical="center"/>
    </xf>
    <xf numFmtId="0" fontId="10" fillId="0" borderId="0" xfId="0" applyNumberFormat="1" applyFont="1" applyAlignment="1">
      <alignment horizontal="right" vertical="center"/>
    </xf>
    <xf numFmtId="0" fontId="6" fillId="0" borderId="0" xfId="0" applyFont="1" applyAlignment="1">
      <alignment horizontal="right" vertical="center"/>
    </xf>
    <xf numFmtId="0" fontId="4" fillId="0" borderId="7" xfId="0" applyFont="1" applyBorder="1" applyAlignment="1">
      <alignment horizontal="center"/>
    </xf>
    <xf numFmtId="0" fontId="0" fillId="0" borderId="7" xfId="0" applyBorder="1" applyAlignment="1"/>
    <xf numFmtId="0" fontId="1" fillId="0" borderId="8" xfId="0" applyFont="1" applyBorder="1" applyAlignment="1">
      <alignment horizontal="center" wrapText="1"/>
    </xf>
    <xf numFmtId="0" fontId="0" fillId="0" borderId="8" xfId="0" applyBorder="1" applyAlignment="1">
      <alignment horizontal="center" wrapText="1"/>
    </xf>
    <xf numFmtId="0" fontId="0" fillId="0" borderId="11" xfId="0" applyBorder="1" applyAlignment="1">
      <alignment horizontal="left" vertical="top" wrapText="1"/>
    </xf>
    <xf numFmtId="0" fontId="0" fillId="0" borderId="11" xfId="0" applyBorder="1" applyAlignment="1"/>
    <xf numFmtId="0" fontId="20" fillId="0" borderId="0" xfId="0" applyFont="1" applyFill="1" applyAlignment="1">
      <alignment vertical="top" wrapText="1"/>
    </xf>
    <xf numFmtId="0" fontId="0" fillId="0" borderId="0" xfId="0" applyFont="1" applyAlignment="1">
      <alignment vertical="top" wrapText="1"/>
    </xf>
    <xf numFmtId="0" fontId="0" fillId="0" borderId="0" xfId="0" applyFont="1" applyAlignment="1">
      <alignment wrapText="1"/>
    </xf>
    <xf numFmtId="0" fontId="13" fillId="0" borderId="0" xfId="0" applyFont="1" applyAlignment="1">
      <alignment vertical="top" wrapText="1"/>
    </xf>
    <xf numFmtId="0" fontId="0" fillId="0" borderId="0" xfId="0" applyFont="1" applyAlignment="1"/>
    <xf numFmtId="0" fontId="1" fillId="0" borderId="0" xfId="0" applyFont="1" applyAlignment="1">
      <alignment wrapText="1"/>
    </xf>
    <xf numFmtId="0" fontId="0" fillId="0" borderId="0" xfId="0" applyFont="1" applyFill="1" applyAlignment="1">
      <alignment horizontal="left" vertical="top" wrapText="1"/>
    </xf>
    <xf numFmtId="0" fontId="0" fillId="0" borderId="0" xfId="0" applyFont="1" applyAlignment="1">
      <alignment horizontal="left" vertical="top" wrapText="1"/>
    </xf>
  </cellXfs>
  <cellStyles count="2">
    <cellStyle name="Normal" xfId="0" builtinId="0"/>
    <cellStyle name="Normal 2" xfId="1"/>
  </cellStyles>
  <dxfs count="0"/>
  <tableStyles count="0" defaultTableStyle="TableStyleMedium9"/>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50801</xdr:colOff>
      <xdr:row>0</xdr:row>
      <xdr:rowOff>50800</xdr:rowOff>
    </xdr:from>
    <xdr:to>
      <xdr:col>0</xdr:col>
      <xdr:colOff>1238250</xdr:colOff>
      <xdr:row>0</xdr:row>
      <xdr:rowOff>416560</xdr:rowOff>
    </xdr:to>
    <xdr:pic>
      <xdr:nvPicPr>
        <xdr:cNvPr id="2" name="Picture 3" descr="2000UMCECVUSMAL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1" y="50800"/>
          <a:ext cx="1187449"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19050</xdr:colOff>
      <xdr:row>70</xdr:row>
      <xdr:rowOff>85725</xdr:rowOff>
    </xdr:from>
    <xdr:to>
      <xdr:col>9</xdr:col>
      <xdr:colOff>1371600</xdr:colOff>
      <xdr:row>70</xdr:row>
      <xdr:rowOff>95249</xdr:rowOff>
    </xdr:to>
    <xdr:sp macro="" textlink="">
      <xdr:nvSpPr>
        <xdr:cNvPr id="3" name="Line 4"/>
        <xdr:cNvSpPr>
          <a:spLocks noChangeShapeType="1"/>
        </xdr:cNvSpPr>
      </xdr:nvSpPr>
      <xdr:spPr bwMode="auto">
        <a:xfrm flipV="1">
          <a:off x="4994910" y="8963025"/>
          <a:ext cx="1352550" cy="9524"/>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26"/>
  <sheetViews>
    <sheetView tabSelected="1" topLeftCell="A82" zoomScaleNormal="100" zoomScaleSheetLayoutView="100" workbookViewId="0">
      <selection activeCell="J88" sqref="J88"/>
    </sheetView>
  </sheetViews>
  <sheetFormatPr defaultColWidth="8.7109375" defaultRowHeight="15" x14ac:dyDescent="0.25"/>
  <cols>
    <col min="1" max="1" width="43.7109375" style="4" customWidth="1"/>
    <col min="2" max="2" width="16.5703125" style="4" customWidth="1"/>
    <col min="3" max="3" width="1.7109375" style="4" customWidth="1"/>
    <col min="4" max="4" width="20" style="4" customWidth="1"/>
    <col min="5" max="5" width="1.7109375" style="96" customWidth="1"/>
    <col min="6" max="6" width="11.7109375" style="4" customWidth="1"/>
    <col min="7" max="7" width="17.7109375" style="4" customWidth="1"/>
    <col min="8" max="9" width="13.28515625" style="4" customWidth="1"/>
    <col min="10" max="10" width="20.28515625" style="2" customWidth="1"/>
    <col min="11" max="16384" width="8.7109375" style="4"/>
  </cols>
  <sheetData>
    <row r="1" spans="1:10" s="3" customFormat="1" ht="52.15" customHeight="1" thickBot="1" x14ac:dyDescent="0.5">
      <c r="A1" s="163" t="str">
        <f>CONCATENATE("Maine Wild Blueberry Enterprise Budget - ORGANIC Freshpack - ",B8," acres")</f>
        <v>Maine Wild Blueberry Enterprise Budget - ORGANIC Freshpack - 15 acres</v>
      </c>
      <c r="B1" s="164"/>
      <c r="C1" s="164"/>
      <c r="D1" s="164"/>
      <c r="E1" s="164"/>
      <c r="F1" s="164"/>
      <c r="G1" s="164"/>
      <c r="H1" s="164"/>
      <c r="I1" s="164"/>
      <c r="J1" s="164"/>
    </row>
    <row r="2" spans="1:10" ht="45.75" customHeight="1" thickTop="1" x14ac:dyDescent="0.25">
      <c r="A2" s="165" t="s">
        <v>90</v>
      </c>
      <c r="B2" s="166"/>
      <c r="C2" s="166"/>
      <c r="D2" s="166"/>
      <c r="E2" s="166"/>
      <c r="F2" s="166"/>
      <c r="G2" s="166"/>
      <c r="H2" s="166"/>
      <c r="I2" s="166"/>
      <c r="J2" s="166"/>
    </row>
    <row r="3" spans="1:10" ht="66" customHeight="1" thickBot="1" x14ac:dyDescent="0.3">
      <c r="A3" s="167" t="s">
        <v>106</v>
      </c>
      <c r="B3" s="168"/>
      <c r="C3" s="168"/>
      <c r="D3" s="168"/>
      <c r="E3" s="168"/>
      <c r="F3" s="168"/>
      <c r="G3" s="168"/>
      <c r="H3" s="168"/>
      <c r="I3" s="168"/>
      <c r="J3" s="168"/>
    </row>
    <row r="4" spans="1:10" ht="28.9" customHeight="1" thickBot="1" x14ac:dyDescent="0.3">
      <c r="A4" s="29" t="s">
        <v>21</v>
      </c>
      <c r="B4" s="46" t="s">
        <v>85</v>
      </c>
      <c r="C4" s="46"/>
      <c r="D4" s="46" t="s">
        <v>28</v>
      </c>
      <c r="E4" s="83"/>
      <c r="F4" s="46"/>
      <c r="G4" s="46" t="s">
        <v>88</v>
      </c>
      <c r="H4" s="46" t="s">
        <v>35</v>
      </c>
      <c r="I4" s="46" t="s">
        <v>79</v>
      </c>
      <c r="J4" s="30" t="s">
        <v>39</v>
      </c>
    </row>
    <row r="5" spans="1:10" ht="13.15" customHeight="1" x14ac:dyDescent="0.25">
      <c r="A5" s="5" t="s">
        <v>31</v>
      </c>
      <c r="B5" s="125">
        <v>2000</v>
      </c>
      <c r="C5" s="79" t="s">
        <v>34</v>
      </c>
      <c r="D5" s="127">
        <v>4.8499999999999996</v>
      </c>
      <c r="E5" s="81"/>
      <c r="F5" s="73" t="s">
        <v>29</v>
      </c>
      <c r="G5" s="68">
        <f>B5*D5</f>
        <v>9700</v>
      </c>
      <c r="H5" s="68">
        <f>G5/$B$5</f>
        <v>4.8499999999999996</v>
      </c>
      <c r="I5" s="117">
        <f>G5*$B$8</f>
        <v>145500</v>
      </c>
      <c r="J5" s="129"/>
    </row>
    <row r="6" spans="1:10" ht="13.15" customHeight="1" x14ac:dyDescent="0.25">
      <c r="A6" s="124" t="s">
        <v>32</v>
      </c>
      <c r="B6" s="126">
        <v>0</v>
      </c>
      <c r="C6" s="80" t="s">
        <v>34</v>
      </c>
      <c r="D6" s="128">
        <v>0</v>
      </c>
      <c r="E6" s="84"/>
      <c r="F6" s="74" t="s">
        <v>29</v>
      </c>
      <c r="G6" s="66">
        <f>B6*D6</f>
        <v>0</v>
      </c>
      <c r="H6" s="66">
        <f>G6/$B$5</f>
        <v>0</v>
      </c>
      <c r="I6" s="118">
        <f>G6*$B$8</f>
        <v>0</v>
      </c>
      <c r="J6" s="129"/>
    </row>
    <row r="7" spans="1:10" ht="13.15" customHeight="1" x14ac:dyDescent="0.25">
      <c r="A7" s="7" t="s">
        <v>11</v>
      </c>
      <c r="B7" s="47"/>
      <c r="C7" s="47"/>
      <c r="D7" s="43"/>
      <c r="E7" s="85"/>
      <c r="F7" s="48"/>
      <c r="G7" s="48">
        <f>SUM(G5:G6)</f>
        <v>9700</v>
      </c>
      <c r="H7" s="48">
        <f>SUM(H5:H6)</f>
        <v>4.8499999999999996</v>
      </c>
      <c r="I7" s="47">
        <f>SUM(I5:I6)</f>
        <v>145500</v>
      </c>
      <c r="J7" s="8"/>
    </row>
    <row r="8" spans="1:10" ht="13.15" customHeight="1" thickBot="1" x14ac:dyDescent="0.3">
      <c r="A8" s="152" t="s">
        <v>72</v>
      </c>
      <c r="B8" s="153">
        <v>15</v>
      </c>
      <c r="C8" s="43"/>
      <c r="D8" s="43"/>
      <c r="E8" s="85"/>
      <c r="F8" s="43"/>
      <c r="G8" s="43"/>
      <c r="H8" s="43"/>
      <c r="I8" s="55"/>
      <c r="J8" s="25"/>
    </row>
    <row r="9" spans="1:10" ht="28.9" customHeight="1" thickBot="1" x14ac:dyDescent="0.3">
      <c r="A9" s="20" t="s">
        <v>9</v>
      </c>
      <c r="B9" s="104" t="s">
        <v>46</v>
      </c>
      <c r="C9" s="49"/>
      <c r="D9" s="105" t="s">
        <v>71</v>
      </c>
      <c r="E9" s="86"/>
      <c r="F9" s="50"/>
      <c r="G9" s="50" t="s">
        <v>87</v>
      </c>
      <c r="H9" s="50" t="s">
        <v>36</v>
      </c>
      <c r="I9" s="116" t="s">
        <v>80</v>
      </c>
      <c r="J9" s="113" t="s">
        <v>39</v>
      </c>
    </row>
    <row r="10" spans="1:10" ht="15" customHeight="1" x14ac:dyDescent="0.25">
      <c r="A10" s="21" t="s">
        <v>0</v>
      </c>
      <c r="B10" s="51"/>
      <c r="C10" s="51"/>
      <c r="D10" s="51"/>
      <c r="E10" s="87"/>
      <c r="F10" s="51"/>
      <c r="G10" s="51"/>
      <c r="H10" s="51"/>
      <c r="I10" s="51"/>
      <c r="J10" s="8"/>
    </row>
    <row r="11" spans="1:10" ht="13.15" customHeight="1" x14ac:dyDescent="0.25">
      <c r="A11" s="9" t="s">
        <v>6</v>
      </c>
      <c r="B11" s="114" t="s">
        <v>33</v>
      </c>
      <c r="C11" s="52"/>
      <c r="D11" s="130">
        <v>0</v>
      </c>
      <c r="E11" s="81"/>
      <c r="F11" s="73"/>
      <c r="G11" s="68">
        <f>D11/$B$8</f>
        <v>0</v>
      </c>
      <c r="H11" s="68">
        <f>G11/$B$5</f>
        <v>0</v>
      </c>
      <c r="I11" s="53">
        <f>G11*$B$8</f>
        <v>0</v>
      </c>
      <c r="J11" s="129"/>
    </row>
    <row r="12" spans="1:10" ht="13.15" customHeight="1" x14ac:dyDescent="0.25">
      <c r="A12" s="9" t="s">
        <v>38</v>
      </c>
      <c r="B12" s="88"/>
      <c r="C12" s="53"/>
      <c r="D12" s="43"/>
      <c r="E12" s="85"/>
      <c r="F12" s="73"/>
      <c r="G12" s="68"/>
      <c r="H12" s="68"/>
      <c r="I12" s="68"/>
      <c r="J12" s="8"/>
    </row>
    <row r="13" spans="1:10" ht="13.15" customHeight="1" x14ac:dyDescent="0.25">
      <c r="A13" s="39" t="s">
        <v>94</v>
      </c>
      <c r="B13" s="114" t="s">
        <v>33</v>
      </c>
      <c r="C13" s="52"/>
      <c r="D13" s="130">
        <v>1222</v>
      </c>
      <c r="E13" s="81"/>
      <c r="F13" s="75"/>
      <c r="G13" s="68">
        <f>D13/$B$8</f>
        <v>81.466666666666669</v>
      </c>
      <c r="H13" s="68">
        <f t="shared" ref="H13:H16" si="0">G13/$B$5</f>
        <v>4.0733333333333337E-2</v>
      </c>
      <c r="I13" s="53">
        <f t="shared" ref="I13:I15" si="1">G13*$B$8</f>
        <v>1222</v>
      </c>
      <c r="J13" s="129"/>
    </row>
    <row r="14" spans="1:10" ht="13.15" customHeight="1" x14ac:dyDescent="0.25">
      <c r="A14" s="9" t="s">
        <v>41</v>
      </c>
      <c r="B14" s="131">
        <v>0.247</v>
      </c>
      <c r="C14" s="52"/>
      <c r="D14" s="127">
        <v>3.93</v>
      </c>
      <c r="E14" s="81"/>
      <c r="F14" s="75" t="s">
        <v>29</v>
      </c>
      <c r="G14" s="108">
        <f>B14*D14</f>
        <v>0.97071000000000007</v>
      </c>
      <c r="H14" s="109">
        <f t="shared" si="0"/>
        <v>4.8535500000000003E-4</v>
      </c>
      <c r="I14" s="53">
        <f t="shared" si="1"/>
        <v>14.560650000000001</v>
      </c>
      <c r="J14" s="135"/>
    </row>
    <row r="15" spans="1:10" ht="13.15" customHeight="1" x14ac:dyDescent="0.25">
      <c r="A15" s="9" t="s">
        <v>40</v>
      </c>
      <c r="B15" s="132">
        <v>1.5</v>
      </c>
      <c r="C15" s="52"/>
      <c r="D15" s="127">
        <v>136.22999999999999</v>
      </c>
      <c r="E15" s="81"/>
      <c r="F15" s="107" t="s">
        <v>29</v>
      </c>
      <c r="G15" s="108">
        <f>B15*D15</f>
        <v>204.34499999999997</v>
      </c>
      <c r="H15" s="108">
        <f t="shared" si="0"/>
        <v>0.10217249999999999</v>
      </c>
      <c r="I15" s="53">
        <f t="shared" si="1"/>
        <v>3065.1749999999997</v>
      </c>
      <c r="J15" s="135"/>
    </row>
    <row r="16" spans="1:10" ht="13.15" customHeight="1" x14ac:dyDescent="0.25">
      <c r="A16" s="9" t="s">
        <v>42</v>
      </c>
      <c r="B16" s="131">
        <v>0.41299999999999998</v>
      </c>
      <c r="C16" s="52"/>
      <c r="D16" s="127">
        <v>738.76</v>
      </c>
      <c r="E16" s="88"/>
      <c r="F16" s="110" t="s">
        <v>29</v>
      </c>
      <c r="G16" s="108">
        <f>(B16*D16)/7.5</f>
        <v>40.681050666666664</v>
      </c>
      <c r="H16" s="108">
        <f t="shared" si="0"/>
        <v>2.0340525333333331E-2</v>
      </c>
      <c r="I16" s="53">
        <f>G16*$B$8</f>
        <v>610.21575999999993</v>
      </c>
      <c r="J16" s="135"/>
    </row>
    <row r="17" spans="1:10" ht="13.15" customHeight="1" x14ac:dyDescent="0.25">
      <c r="A17" s="9" t="s">
        <v>43</v>
      </c>
      <c r="B17" s="53"/>
      <c r="C17" s="53"/>
      <c r="D17" s="43"/>
      <c r="E17" s="85"/>
      <c r="F17" s="73"/>
      <c r="G17" s="68"/>
      <c r="H17" s="111"/>
      <c r="I17" s="111"/>
      <c r="J17" s="10"/>
    </row>
    <row r="18" spans="1:10" ht="13.15" customHeight="1" x14ac:dyDescent="0.25">
      <c r="A18" s="39" t="s">
        <v>45</v>
      </c>
      <c r="B18" s="114" t="s">
        <v>33</v>
      </c>
      <c r="C18" s="52"/>
      <c r="D18" s="150" t="s">
        <v>33</v>
      </c>
      <c r="E18" s="88"/>
      <c r="F18" s="110" t="s">
        <v>29</v>
      </c>
      <c r="G18" s="108" t="s">
        <v>33</v>
      </c>
      <c r="H18" s="103" t="s">
        <v>33</v>
      </c>
      <c r="I18" s="144" t="s">
        <v>33</v>
      </c>
      <c r="J18" s="151"/>
    </row>
    <row r="19" spans="1:10" ht="13.15" customHeight="1" x14ac:dyDescent="0.25">
      <c r="A19" s="39" t="s">
        <v>44</v>
      </c>
      <c r="B19" s="125">
        <v>50</v>
      </c>
      <c r="C19" s="52"/>
      <c r="D19" s="127">
        <v>5.24</v>
      </c>
      <c r="E19" s="88"/>
      <c r="F19" s="110" t="s">
        <v>29</v>
      </c>
      <c r="G19" s="108">
        <f>B19*D19</f>
        <v>262</v>
      </c>
      <c r="H19" s="108">
        <f>G19/B$5</f>
        <v>0.13100000000000001</v>
      </c>
      <c r="I19" s="53">
        <f>G19*$B$8</f>
        <v>3930</v>
      </c>
      <c r="J19" s="129"/>
    </row>
    <row r="20" spans="1:10" ht="13.15" customHeight="1" x14ac:dyDescent="0.25">
      <c r="A20" s="9" t="s">
        <v>47</v>
      </c>
      <c r="B20" s="133">
        <v>33.33</v>
      </c>
      <c r="C20" s="52"/>
      <c r="D20" s="127">
        <v>5.45</v>
      </c>
      <c r="E20" s="88"/>
      <c r="F20" s="110" t="s">
        <v>29</v>
      </c>
      <c r="G20" s="108">
        <f>B20*D20</f>
        <v>181.64849999999998</v>
      </c>
      <c r="H20" s="108">
        <f>G20/$B$5</f>
        <v>9.0824249999999995E-2</v>
      </c>
      <c r="I20" s="146">
        <f>G20*$B$8</f>
        <v>2724.7275</v>
      </c>
      <c r="J20" s="129"/>
    </row>
    <row r="21" spans="1:10" ht="13.15" customHeight="1" x14ac:dyDescent="0.25">
      <c r="A21" s="147" t="s">
        <v>104</v>
      </c>
      <c r="B21" s="125">
        <v>0</v>
      </c>
      <c r="C21" s="52"/>
      <c r="D21" s="127">
        <v>0</v>
      </c>
      <c r="E21" s="88"/>
      <c r="F21" s="106" t="s">
        <v>29</v>
      </c>
      <c r="G21" s="66">
        <f>(B21*D21)/$B$8</f>
        <v>0</v>
      </c>
      <c r="H21" s="149">
        <f>G21/$B$5</f>
        <v>0</v>
      </c>
      <c r="I21" s="118">
        <f>G21*$B$8</f>
        <v>0</v>
      </c>
      <c r="J21" s="134"/>
    </row>
    <row r="22" spans="1:10" ht="13.15" customHeight="1" x14ac:dyDescent="0.25">
      <c r="A22" s="148" t="s">
        <v>18</v>
      </c>
      <c r="B22" s="161"/>
      <c r="C22" s="161"/>
      <c r="D22" s="162"/>
      <c r="E22" s="89"/>
      <c r="F22" s="68"/>
      <c r="G22" s="119">
        <f>SUM(G11:G21)</f>
        <v>771.11192733333337</v>
      </c>
      <c r="H22" s="119">
        <f>SUM(H11:H21)</f>
        <v>0.38555596366666661</v>
      </c>
      <c r="I22" s="120">
        <f>SUM(I11:I21)</f>
        <v>11566.678909999999</v>
      </c>
      <c r="J22" s="8"/>
    </row>
    <row r="23" spans="1:10" ht="13.15" customHeight="1" x14ac:dyDescent="0.25">
      <c r="A23" s="28" t="s">
        <v>1</v>
      </c>
      <c r="B23" s="53"/>
      <c r="C23" s="53"/>
      <c r="D23" s="43"/>
      <c r="E23" s="85"/>
      <c r="F23" s="68"/>
      <c r="G23" s="53"/>
      <c r="H23" s="53"/>
      <c r="I23" s="53"/>
      <c r="J23" s="8"/>
    </row>
    <row r="24" spans="1:10" ht="13.15" customHeight="1" x14ac:dyDescent="0.25">
      <c r="A24" s="9" t="s">
        <v>112</v>
      </c>
      <c r="B24" s="53"/>
      <c r="C24" s="53"/>
      <c r="D24" s="43"/>
      <c r="E24" s="85"/>
      <c r="F24" s="68"/>
      <c r="G24" s="53"/>
      <c r="H24" s="53"/>
      <c r="I24" s="53"/>
      <c r="J24" s="8"/>
    </row>
    <row r="25" spans="1:10" ht="13.15" customHeight="1" x14ac:dyDescent="0.25">
      <c r="A25" s="39" t="s">
        <v>108</v>
      </c>
      <c r="B25" s="125">
        <v>0</v>
      </c>
      <c r="C25" s="53"/>
      <c r="D25" s="130">
        <v>0</v>
      </c>
      <c r="E25" s="81"/>
      <c r="F25" s="68"/>
      <c r="G25" s="53">
        <f>(B25*D25)/$B$8</f>
        <v>0</v>
      </c>
      <c r="H25" s="53">
        <f t="shared" ref="H25:H32" si="2">G25/$B$5</f>
        <v>0</v>
      </c>
      <c r="I25" s="53">
        <f>G25*$B$8</f>
        <v>0</v>
      </c>
      <c r="J25" s="129"/>
    </row>
    <row r="26" spans="1:10" ht="13.15" customHeight="1" x14ac:dyDescent="0.25">
      <c r="A26" s="39" t="s">
        <v>113</v>
      </c>
      <c r="B26" s="125">
        <v>0</v>
      </c>
      <c r="C26" s="53"/>
      <c r="D26" s="130">
        <v>0</v>
      </c>
      <c r="E26" s="81"/>
      <c r="F26" s="68"/>
      <c r="G26" s="53">
        <f>(B26*D26)/$B$8</f>
        <v>0</v>
      </c>
      <c r="H26" s="53">
        <f t="shared" si="2"/>
        <v>0</v>
      </c>
      <c r="I26" s="53">
        <f>G26*$B$8</f>
        <v>0</v>
      </c>
      <c r="J26" s="129"/>
    </row>
    <row r="27" spans="1:10" ht="13.15" customHeight="1" x14ac:dyDescent="0.25">
      <c r="A27" s="39" t="s">
        <v>114</v>
      </c>
      <c r="B27" s="125">
        <v>225</v>
      </c>
      <c r="C27" s="53"/>
      <c r="D27" s="127">
        <v>16.63</v>
      </c>
      <c r="E27" s="81"/>
      <c r="F27" s="68"/>
      <c r="G27" s="53">
        <f>(B27*D27)/$B$8</f>
        <v>249.45</v>
      </c>
      <c r="H27" s="68">
        <f t="shared" si="2"/>
        <v>0.12472499999999999</v>
      </c>
      <c r="I27" s="53">
        <f>G27*$B$8</f>
        <v>3741.75</v>
      </c>
      <c r="J27" s="129"/>
    </row>
    <row r="28" spans="1:10" ht="13.15" customHeight="1" x14ac:dyDescent="0.25">
      <c r="A28" s="39" t="s">
        <v>115</v>
      </c>
      <c r="B28" s="125">
        <v>0</v>
      </c>
      <c r="C28" s="53"/>
      <c r="D28" s="127">
        <v>16.63</v>
      </c>
      <c r="E28" s="81"/>
      <c r="F28" s="68"/>
      <c r="G28" s="53">
        <f>(B28*D28)/$B$8</f>
        <v>0</v>
      </c>
      <c r="H28" s="53">
        <f t="shared" si="2"/>
        <v>0</v>
      </c>
      <c r="I28" s="53">
        <f>G28*$B$8</f>
        <v>0</v>
      </c>
      <c r="J28" s="129"/>
    </row>
    <row r="29" spans="1:10" ht="13.15" customHeight="1" x14ac:dyDescent="0.25">
      <c r="A29" s="39" t="s">
        <v>107</v>
      </c>
      <c r="B29" s="133">
        <v>105.44</v>
      </c>
      <c r="C29" s="53"/>
      <c r="D29" s="127">
        <v>16.63</v>
      </c>
      <c r="E29" s="81"/>
      <c r="F29" s="68"/>
      <c r="G29" s="68">
        <f>B29*D29</f>
        <v>1753.4671999999998</v>
      </c>
      <c r="H29" s="68">
        <f t="shared" si="2"/>
        <v>0.87673359999999989</v>
      </c>
      <c r="I29" s="53">
        <f t="shared" ref="I29" si="3">G29*$B$8</f>
        <v>26302.007999999998</v>
      </c>
      <c r="J29" s="129"/>
    </row>
    <row r="30" spans="1:10" ht="13.15" customHeight="1" x14ac:dyDescent="0.25">
      <c r="A30" s="9" t="s">
        <v>65</v>
      </c>
      <c r="B30" s="131">
        <v>3.7360000000000002</v>
      </c>
      <c r="C30" s="53"/>
      <c r="D30" s="127">
        <v>4.82</v>
      </c>
      <c r="E30" s="81"/>
      <c r="F30" s="68"/>
      <c r="G30" s="68">
        <f>B30*D30</f>
        <v>18.007520000000003</v>
      </c>
      <c r="H30" s="68">
        <f t="shared" si="2"/>
        <v>9.0037600000000013E-3</v>
      </c>
      <c r="I30" s="53">
        <f t="shared" ref="I30:I32" si="4">G30*$B$8</f>
        <v>270.11280000000005</v>
      </c>
      <c r="J30" s="135"/>
    </row>
    <row r="31" spans="1:10" ht="13.15" customHeight="1" x14ac:dyDescent="0.25">
      <c r="A31" s="9" t="s">
        <v>66</v>
      </c>
      <c r="B31" s="114" t="s">
        <v>33</v>
      </c>
      <c r="C31" s="53"/>
      <c r="D31" s="130">
        <v>34</v>
      </c>
      <c r="E31" s="81"/>
      <c r="F31" s="68"/>
      <c r="G31" s="68">
        <f>D31/$B$8</f>
        <v>2.2666666666666666</v>
      </c>
      <c r="H31" s="103">
        <f t="shared" si="2"/>
        <v>1.1333333333333332E-3</v>
      </c>
      <c r="I31" s="53">
        <f t="shared" si="4"/>
        <v>34</v>
      </c>
      <c r="J31" s="135"/>
    </row>
    <row r="32" spans="1:10" ht="13.15" customHeight="1" x14ac:dyDescent="0.25">
      <c r="A32" s="38" t="s">
        <v>14</v>
      </c>
      <c r="B32" s="125">
        <v>1</v>
      </c>
      <c r="C32" s="53"/>
      <c r="D32" s="127">
        <v>84.8</v>
      </c>
      <c r="E32" s="81"/>
      <c r="F32" s="68"/>
      <c r="G32" s="66">
        <f>B32*D32</f>
        <v>84.8</v>
      </c>
      <c r="H32" s="66">
        <f t="shared" si="2"/>
        <v>4.24E-2</v>
      </c>
      <c r="I32" s="118">
        <f t="shared" si="4"/>
        <v>1272</v>
      </c>
      <c r="J32" s="134"/>
    </row>
    <row r="33" spans="1:10" ht="13.15" customHeight="1" x14ac:dyDescent="0.25">
      <c r="A33" s="27" t="s">
        <v>18</v>
      </c>
      <c r="B33" s="161"/>
      <c r="C33" s="161"/>
      <c r="D33" s="162"/>
      <c r="E33" s="89"/>
      <c r="F33" s="68"/>
      <c r="G33" s="119">
        <f>SUM(G25:G32)</f>
        <v>2107.9913866666666</v>
      </c>
      <c r="H33" s="119">
        <f>SUM(H25:H32)</f>
        <v>1.0539956933333332</v>
      </c>
      <c r="I33" s="120">
        <f>SUM(I25:I32)</f>
        <v>31619.870799999997</v>
      </c>
      <c r="J33" s="10"/>
    </row>
    <row r="34" spans="1:10" ht="13.15" customHeight="1" x14ac:dyDescent="0.25">
      <c r="A34" s="22" t="s">
        <v>2</v>
      </c>
      <c r="B34" s="53"/>
      <c r="C34" s="53"/>
      <c r="D34" s="43"/>
      <c r="E34" s="85"/>
      <c r="F34" s="68"/>
      <c r="G34" s="53"/>
      <c r="H34" s="53"/>
      <c r="I34" s="53"/>
      <c r="J34" s="8"/>
    </row>
    <row r="35" spans="1:10" ht="13.15" customHeight="1" x14ac:dyDescent="0.25">
      <c r="A35" s="9" t="s">
        <v>48</v>
      </c>
      <c r="B35" s="114" t="s">
        <v>33</v>
      </c>
      <c r="C35" s="52"/>
      <c r="D35" s="130">
        <v>145</v>
      </c>
      <c r="E35" s="88"/>
      <c r="F35" s="73"/>
      <c r="G35" s="68">
        <f t="shared" ref="G35:G43" si="5">D35/$B$8</f>
        <v>9.6666666666666661</v>
      </c>
      <c r="H35" s="103">
        <f t="shared" ref="H35:H43" si="6">G35/$B$5</f>
        <v>4.8333333333333327E-3</v>
      </c>
      <c r="I35" s="53">
        <f>G35*$B$8</f>
        <v>145</v>
      </c>
      <c r="J35" s="129"/>
    </row>
    <row r="36" spans="1:10" ht="13.15" customHeight="1" x14ac:dyDescent="0.25">
      <c r="A36" s="9" t="s">
        <v>49</v>
      </c>
      <c r="B36" s="114" t="s">
        <v>33</v>
      </c>
      <c r="C36" s="52"/>
      <c r="D36" s="130">
        <v>203</v>
      </c>
      <c r="E36" s="88"/>
      <c r="F36" s="73"/>
      <c r="G36" s="68">
        <f t="shared" si="5"/>
        <v>13.533333333333333</v>
      </c>
      <c r="H36" s="103">
        <f t="shared" si="6"/>
        <v>6.7666666666666665E-3</v>
      </c>
      <c r="I36" s="53">
        <f t="shared" ref="I36:I52" si="7">G36*$B$8</f>
        <v>203</v>
      </c>
      <c r="J36" s="135"/>
    </row>
    <row r="37" spans="1:10" ht="13.15" customHeight="1" x14ac:dyDescent="0.25">
      <c r="A37" s="9" t="s">
        <v>50</v>
      </c>
      <c r="B37" s="114" t="s">
        <v>33</v>
      </c>
      <c r="C37" s="52"/>
      <c r="D37" s="130">
        <v>62</v>
      </c>
      <c r="E37" s="88"/>
      <c r="F37" s="73"/>
      <c r="G37" s="68">
        <f t="shared" si="5"/>
        <v>4.1333333333333337</v>
      </c>
      <c r="H37" s="103">
        <f t="shared" si="6"/>
        <v>2.0666666666666667E-3</v>
      </c>
      <c r="I37" s="53">
        <f t="shared" si="7"/>
        <v>62.000000000000007</v>
      </c>
      <c r="J37" s="135"/>
    </row>
    <row r="38" spans="1:10" ht="13.15" customHeight="1" x14ac:dyDescent="0.25">
      <c r="A38" s="9" t="s">
        <v>51</v>
      </c>
      <c r="B38" s="114" t="s">
        <v>33</v>
      </c>
      <c r="C38" s="52"/>
      <c r="D38" s="130">
        <v>118</v>
      </c>
      <c r="E38" s="88"/>
      <c r="F38" s="73"/>
      <c r="G38" s="68">
        <f t="shared" si="5"/>
        <v>7.8666666666666663</v>
      </c>
      <c r="H38" s="103">
        <f t="shared" si="6"/>
        <v>3.933333333333333E-3</v>
      </c>
      <c r="I38" s="53">
        <f t="shared" si="7"/>
        <v>118</v>
      </c>
      <c r="J38" s="135"/>
    </row>
    <row r="39" spans="1:10" ht="13.15" customHeight="1" x14ac:dyDescent="0.25">
      <c r="A39" s="9" t="s">
        <v>52</v>
      </c>
      <c r="B39" s="114" t="s">
        <v>33</v>
      </c>
      <c r="C39" s="52"/>
      <c r="D39" s="130">
        <v>20</v>
      </c>
      <c r="E39" s="88"/>
      <c r="F39" s="73"/>
      <c r="G39" s="68">
        <f t="shared" si="5"/>
        <v>1.3333333333333333</v>
      </c>
      <c r="H39" s="109">
        <f t="shared" si="6"/>
        <v>6.6666666666666664E-4</v>
      </c>
      <c r="I39" s="53">
        <f t="shared" si="7"/>
        <v>20</v>
      </c>
      <c r="J39" s="135"/>
    </row>
    <row r="40" spans="1:10" ht="13.15" customHeight="1" x14ac:dyDescent="0.25">
      <c r="A40" s="9" t="s">
        <v>109</v>
      </c>
      <c r="B40" s="114" t="s">
        <v>33</v>
      </c>
      <c r="C40" s="53"/>
      <c r="D40" s="130">
        <v>0</v>
      </c>
      <c r="E40" s="85"/>
      <c r="F40" s="68"/>
      <c r="G40" s="146">
        <f>D40/$B$8</f>
        <v>0</v>
      </c>
      <c r="H40" s="146">
        <f>G40/$B$5</f>
        <v>0</v>
      </c>
      <c r="I40" s="146">
        <f>G40*$B$8</f>
        <v>0</v>
      </c>
      <c r="J40" s="135"/>
    </row>
    <row r="41" spans="1:10" ht="13.15" customHeight="1" x14ac:dyDescent="0.25">
      <c r="A41" s="9" t="s">
        <v>53</v>
      </c>
      <c r="B41" s="114" t="s">
        <v>33</v>
      </c>
      <c r="C41" s="52"/>
      <c r="D41" s="130">
        <v>566</v>
      </c>
      <c r="E41" s="88"/>
      <c r="F41" s="73"/>
      <c r="G41" s="68">
        <f t="shared" si="5"/>
        <v>37.733333333333334</v>
      </c>
      <c r="H41" s="68">
        <f t="shared" si="6"/>
        <v>1.8866666666666667E-2</v>
      </c>
      <c r="I41" s="53">
        <f t="shared" si="7"/>
        <v>566</v>
      </c>
      <c r="J41" s="135"/>
    </row>
    <row r="42" spans="1:10" ht="13.15" customHeight="1" x14ac:dyDescent="0.25">
      <c r="A42" s="9" t="s">
        <v>54</v>
      </c>
      <c r="B42" s="114" t="s">
        <v>33</v>
      </c>
      <c r="C42" s="52"/>
      <c r="D42" s="130">
        <v>36</v>
      </c>
      <c r="E42" s="88"/>
      <c r="F42" s="73"/>
      <c r="G42" s="68">
        <f t="shared" si="5"/>
        <v>2.4</v>
      </c>
      <c r="H42" s="103">
        <f t="shared" si="6"/>
        <v>1.1999999999999999E-3</v>
      </c>
      <c r="I42" s="53">
        <f t="shared" si="7"/>
        <v>36</v>
      </c>
      <c r="J42" s="135"/>
    </row>
    <row r="43" spans="1:10" ht="13.15" customHeight="1" x14ac:dyDescent="0.25">
      <c r="A43" s="9" t="s">
        <v>97</v>
      </c>
      <c r="B43" s="114" t="s">
        <v>33</v>
      </c>
      <c r="C43" s="52"/>
      <c r="D43" s="130">
        <v>3400</v>
      </c>
      <c r="E43" s="88"/>
      <c r="F43" s="73"/>
      <c r="G43" s="68">
        <f t="shared" si="5"/>
        <v>226.66666666666666</v>
      </c>
      <c r="H43" s="68">
        <f t="shared" si="6"/>
        <v>0.11333333333333333</v>
      </c>
      <c r="I43" s="53">
        <f t="shared" ref="I43" si="8">G43*$B$8</f>
        <v>3400</v>
      </c>
      <c r="J43" s="135"/>
    </row>
    <row r="44" spans="1:10" ht="13.15" customHeight="1" x14ac:dyDescent="0.25">
      <c r="A44" s="9" t="s">
        <v>55</v>
      </c>
      <c r="B44" s="114" t="s">
        <v>33</v>
      </c>
      <c r="C44" s="52"/>
      <c r="D44" s="130">
        <v>0</v>
      </c>
      <c r="E44" s="88"/>
      <c r="F44" s="73"/>
      <c r="G44" s="68">
        <f t="shared" ref="G44:G45" si="9">D44/$B$8</f>
        <v>0</v>
      </c>
      <c r="H44" s="68">
        <f t="shared" ref="H44:H46" si="10">G44/$B$5</f>
        <v>0</v>
      </c>
      <c r="I44" s="53">
        <f t="shared" si="7"/>
        <v>0</v>
      </c>
      <c r="J44" s="135"/>
    </row>
    <row r="45" spans="1:10" ht="13.15" customHeight="1" x14ac:dyDescent="0.25">
      <c r="A45" s="9" t="s">
        <v>56</v>
      </c>
      <c r="B45" s="114" t="s">
        <v>33</v>
      </c>
      <c r="C45" s="52"/>
      <c r="D45" s="130">
        <v>319</v>
      </c>
      <c r="E45" s="88"/>
      <c r="F45" s="73"/>
      <c r="G45" s="68">
        <f t="shared" si="9"/>
        <v>21.266666666666666</v>
      </c>
      <c r="H45" s="68">
        <f t="shared" si="10"/>
        <v>1.0633333333333333E-2</v>
      </c>
      <c r="I45" s="53">
        <f t="shared" si="7"/>
        <v>319</v>
      </c>
      <c r="J45" s="135"/>
    </row>
    <row r="46" spans="1:10" ht="13.15" customHeight="1" x14ac:dyDescent="0.25">
      <c r="A46" s="9" t="s">
        <v>57</v>
      </c>
      <c r="B46" s="114" t="s">
        <v>33</v>
      </c>
      <c r="C46" s="52"/>
      <c r="D46" s="130">
        <v>500</v>
      </c>
      <c r="E46" s="88"/>
      <c r="F46" s="73"/>
      <c r="G46" s="68">
        <f t="shared" ref="G46" si="11">D46/$B$8</f>
        <v>33.333333333333336</v>
      </c>
      <c r="H46" s="68">
        <f t="shared" si="10"/>
        <v>1.6666666666666666E-2</v>
      </c>
      <c r="I46" s="53">
        <f t="shared" si="7"/>
        <v>500.00000000000006</v>
      </c>
      <c r="J46" s="135"/>
    </row>
    <row r="47" spans="1:10" ht="13.15" customHeight="1" x14ac:dyDescent="0.25">
      <c r="A47" s="9" t="s">
        <v>95</v>
      </c>
      <c r="B47" s="114">
        <f>$B$5</f>
        <v>2000</v>
      </c>
      <c r="C47" s="52"/>
      <c r="D47" s="145">
        <v>7.4999999999999997E-3</v>
      </c>
      <c r="E47" s="88"/>
      <c r="F47" s="73"/>
      <c r="G47" s="68">
        <f>B47*D47</f>
        <v>15</v>
      </c>
      <c r="H47" s="103">
        <f>G47/$B$5</f>
        <v>7.4999999999999997E-3</v>
      </c>
      <c r="I47" s="53">
        <f>G47*$B$8</f>
        <v>225</v>
      </c>
      <c r="J47" s="135"/>
    </row>
    <row r="48" spans="1:10" ht="13.15" customHeight="1" x14ac:dyDescent="0.25">
      <c r="A48" s="9" t="s">
        <v>96</v>
      </c>
      <c r="B48" s="114">
        <f>$B$5</f>
        <v>2000</v>
      </c>
      <c r="C48" s="52"/>
      <c r="D48" s="145">
        <v>7.4999999999999997E-3</v>
      </c>
      <c r="E48" s="88"/>
      <c r="F48" s="73"/>
      <c r="G48" s="68">
        <f>B48*D48</f>
        <v>15</v>
      </c>
      <c r="H48" s="103">
        <f>G48/$B$5</f>
        <v>7.4999999999999997E-3</v>
      </c>
      <c r="I48" s="53">
        <f>G48*$B$8</f>
        <v>225</v>
      </c>
      <c r="J48" s="135"/>
    </row>
    <row r="49" spans="1:10" ht="13.15" customHeight="1" x14ac:dyDescent="0.25">
      <c r="A49" s="9" t="s">
        <v>110</v>
      </c>
      <c r="B49" s="114" t="s">
        <v>33</v>
      </c>
      <c r="C49" s="53"/>
      <c r="D49" s="130">
        <v>0</v>
      </c>
      <c r="E49" s="85"/>
      <c r="F49" s="68"/>
      <c r="G49" s="146">
        <f>D49/$B$8</f>
        <v>0</v>
      </c>
      <c r="H49" s="146">
        <f>G49/$B$5</f>
        <v>0</v>
      </c>
      <c r="I49" s="146">
        <f t="shared" ref="I49" si="12">G49*$B$8</f>
        <v>0</v>
      </c>
      <c r="J49" s="135"/>
    </row>
    <row r="50" spans="1:10" ht="13.15" customHeight="1" x14ac:dyDescent="0.25">
      <c r="A50" s="9" t="s">
        <v>59</v>
      </c>
      <c r="B50" s="114" t="s">
        <v>33</v>
      </c>
      <c r="C50" s="52"/>
      <c r="D50" s="130">
        <v>874</v>
      </c>
      <c r="E50" s="88"/>
      <c r="F50" s="73"/>
      <c r="G50" s="68">
        <f>D50/$B$8</f>
        <v>58.266666666666666</v>
      </c>
      <c r="H50" s="68">
        <f>G50/$B$5</f>
        <v>2.9133333333333334E-2</v>
      </c>
      <c r="I50" s="53">
        <f>G50*$B$8</f>
        <v>874</v>
      </c>
      <c r="J50" s="135"/>
    </row>
    <row r="51" spans="1:10" ht="13.15" customHeight="1" x14ac:dyDescent="0.25">
      <c r="A51" s="9" t="s">
        <v>58</v>
      </c>
      <c r="B51" s="114" t="s">
        <v>33</v>
      </c>
      <c r="C51" s="52"/>
      <c r="D51" s="130">
        <v>384</v>
      </c>
      <c r="E51" s="88"/>
      <c r="F51" s="73"/>
      <c r="G51" s="68">
        <f>D51/$B$8</f>
        <v>25.6</v>
      </c>
      <c r="H51" s="68">
        <f>G51/$B$5</f>
        <v>1.2800000000000001E-2</v>
      </c>
      <c r="I51" s="53">
        <f t="shared" si="7"/>
        <v>384</v>
      </c>
      <c r="J51" s="135"/>
    </row>
    <row r="52" spans="1:10" ht="13.15" customHeight="1" x14ac:dyDescent="0.25">
      <c r="A52" s="9" t="s">
        <v>60</v>
      </c>
      <c r="B52" s="114" t="s">
        <v>33</v>
      </c>
      <c r="C52" s="52"/>
      <c r="D52" s="130">
        <v>865</v>
      </c>
      <c r="E52" s="88"/>
      <c r="F52" s="73"/>
      <c r="G52" s="108">
        <f t="shared" ref="G52" si="13">D52/$B$8</f>
        <v>57.666666666666664</v>
      </c>
      <c r="H52" s="108">
        <f t="shared" ref="H52" si="14">G52/$B$5</f>
        <v>2.8833333333333332E-2</v>
      </c>
      <c r="I52" s="53">
        <f t="shared" si="7"/>
        <v>865</v>
      </c>
      <c r="J52" s="135"/>
    </row>
    <row r="53" spans="1:10" ht="13.15" customHeight="1" x14ac:dyDescent="0.25">
      <c r="A53" s="147" t="s">
        <v>104</v>
      </c>
      <c r="B53" s="125">
        <v>0</v>
      </c>
      <c r="C53" s="52"/>
      <c r="D53" s="127">
        <v>0</v>
      </c>
      <c r="E53" s="88"/>
      <c r="F53" s="106" t="s">
        <v>29</v>
      </c>
      <c r="G53" s="66">
        <f>(B53*D53)/$B$8</f>
        <v>0</v>
      </c>
      <c r="H53" s="149">
        <f>G53/$B$5</f>
        <v>0</v>
      </c>
      <c r="I53" s="118">
        <f>G53*$B$8</f>
        <v>0</v>
      </c>
      <c r="J53" s="134"/>
    </row>
    <row r="54" spans="1:10" ht="13.15" customHeight="1" x14ac:dyDescent="0.25">
      <c r="A54" s="148" t="s">
        <v>18</v>
      </c>
      <c r="B54" s="161"/>
      <c r="C54" s="161"/>
      <c r="D54" s="162"/>
      <c r="E54" s="89"/>
      <c r="F54" s="68"/>
      <c r="G54" s="119">
        <f>SUM(G35:G53)</f>
        <v>529.46666666666658</v>
      </c>
      <c r="H54" s="119">
        <f>SUM(H35:H53)</f>
        <v>0.26473333333333338</v>
      </c>
      <c r="I54" s="120">
        <f>SUM(I35:I53)</f>
        <v>7942</v>
      </c>
      <c r="J54" s="8"/>
    </row>
    <row r="55" spans="1:10" ht="13.15" customHeight="1" thickBot="1" x14ac:dyDescent="0.3">
      <c r="A55" s="40" t="s">
        <v>3</v>
      </c>
      <c r="B55" s="54"/>
      <c r="C55" s="54"/>
      <c r="D55" s="55"/>
      <c r="E55" s="90"/>
      <c r="F55" s="55"/>
      <c r="G55" s="56">
        <f>G22+G33+G54</f>
        <v>3408.5699806666667</v>
      </c>
      <c r="H55" s="56">
        <f>H22+H33+H54</f>
        <v>1.704284990333333</v>
      </c>
      <c r="I55" s="54">
        <f>I22+I33+I54</f>
        <v>51128.549709999992</v>
      </c>
      <c r="J55" s="25"/>
    </row>
    <row r="56" spans="1:10" ht="13.15" customHeight="1" thickBot="1" x14ac:dyDescent="0.3">
      <c r="A56" s="23" t="s">
        <v>12</v>
      </c>
      <c r="B56" s="55"/>
      <c r="C56" s="55"/>
      <c r="D56" s="55"/>
      <c r="E56" s="90"/>
      <c r="F56" s="55"/>
      <c r="G56" s="55"/>
      <c r="H56" s="55"/>
      <c r="I56" s="55"/>
      <c r="J56" s="55"/>
    </row>
    <row r="57" spans="1:10" ht="13.15" customHeight="1" x14ac:dyDescent="0.25">
      <c r="A57" s="9" t="s">
        <v>22</v>
      </c>
      <c r="B57" s="125">
        <v>1</v>
      </c>
      <c r="C57" s="53"/>
      <c r="D57" s="127">
        <v>833.69</v>
      </c>
      <c r="E57" s="81"/>
      <c r="F57" s="43"/>
      <c r="G57" s="68">
        <f>B57*D57</f>
        <v>833.69</v>
      </c>
      <c r="H57" s="82">
        <f>G57/$B$5</f>
        <v>0.41684500000000002</v>
      </c>
      <c r="I57" s="117">
        <f>G57*$B$8</f>
        <v>12505.35</v>
      </c>
      <c r="J57" s="137"/>
    </row>
    <row r="58" spans="1:10" ht="13.15" customHeight="1" x14ac:dyDescent="0.25">
      <c r="A58" s="9" t="s">
        <v>23</v>
      </c>
      <c r="B58" s="125">
        <v>1</v>
      </c>
      <c r="C58" s="53"/>
      <c r="D58" s="127">
        <v>653.02</v>
      </c>
      <c r="E58" s="81"/>
      <c r="F58" s="43"/>
      <c r="G58" s="66">
        <f>B58*D58</f>
        <v>653.02</v>
      </c>
      <c r="H58" s="66">
        <f>G58/$B$5</f>
        <v>0.32650999999999997</v>
      </c>
      <c r="I58" s="118">
        <f>G58*$B$8</f>
        <v>9795.2999999999993</v>
      </c>
      <c r="J58" s="136"/>
    </row>
    <row r="59" spans="1:10" ht="13.15" customHeight="1" x14ac:dyDescent="0.25">
      <c r="A59" s="7" t="s">
        <v>13</v>
      </c>
      <c r="B59" s="47"/>
      <c r="C59" s="47"/>
      <c r="D59" s="43"/>
      <c r="E59" s="85"/>
      <c r="F59" s="43"/>
      <c r="G59" s="48">
        <f>SUM(G57:G58)</f>
        <v>1486.71</v>
      </c>
      <c r="H59" s="48">
        <f>SUM(H57:H58)</f>
        <v>0.74335499999999999</v>
      </c>
      <c r="I59" s="47">
        <f>SUM(I57:I58)</f>
        <v>22300.65</v>
      </c>
      <c r="J59" s="8"/>
    </row>
    <row r="60" spans="1:10" ht="7.9" customHeight="1" thickBot="1" x14ac:dyDescent="0.3">
      <c r="A60" s="6"/>
      <c r="B60" s="43"/>
      <c r="C60" s="43"/>
      <c r="D60" s="43"/>
      <c r="E60" s="85"/>
      <c r="F60" s="43"/>
      <c r="G60" s="43"/>
      <c r="H60" s="43"/>
      <c r="I60" s="43"/>
      <c r="J60" s="25"/>
    </row>
    <row r="61" spans="1:10" ht="13.15" customHeight="1" thickBot="1" x14ac:dyDescent="0.3">
      <c r="A61" s="19" t="s">
        <v>24</v>
      </c>
      <c r="B61" s="57"/>
      <c r="C61" s="57"/>
      <c r="D61" s="58"/>
      <c r="E61" s="91"/>
      <c r="F61" s="58"/>
      <c r="G61" s="59">
        <f>G55+G59</f>
        <v>4895.2799806666662</v>
      </c>
      <c r="H61" s="59">
        <f>H55+H59</f>
        <v>2.4476399903333332</v>
      </c>
      <c r="I61" s="57">
        <f>I55+I59</f>
        <v>73429.199709999986</v>
      </c>
      <c r="J61" s="25"/>
    </row>
    <row r="62" spans="1:10" ht="6" customHeight="1" x14ac:dyDescent="0.25">
      <c r="A62" s="41"/>
      <c r="B62" s="60"/>
      <c r="C62" s="60"/>
      <c r="D62" s="61"/>
      <c r="E62" s="92"/>
      <c r="F62" s="62"/>
      <c r="G62" s="60"/>
      <c r="H62" s="60"/>
      <c r="I62" s="60"/>
      <c r="J62" s="8"/>
    </row>
    <row r="63" spans="1:10" ht="30" customHeight="1" x14ac:dyDescent="0.25">
      <c r="A63" s="42"/>
      <c r="B63" s="43"/>
      <c r="C63" s="43"/>
      <c r="D63" s="64" t="s">
        <v>10</v>
      </c>
      <c r="E63" s="93"/>
      <c r="F63" s="64" t="s">
        <v>30</v>
      </c>
      <c r="G63" s="141" t="s">
        <v>91</v>
      </c>
      <c r="H63" s="141" t="s">
        <v>92</v>
      </c>
      <c r="I63" s="76" t="s">
        <v>93</v>
      </c>
      <c r="J63" s="141" t="s">
        <v>120</v>
      </c>
    </row>
    <row r="64" spans="1:10" ht="13.15" customHeight="1" x14ac:dyDescent="0.25">
      <c r="A64" s="7" t="s">
        <v>4</v>
      </c>
      <c r="B64" s="47"/>
      <c r="C64" s="47"/>
      <c r="D64" s="101">
        <f>G7</f>
        <v>9700</v>
      </c>
      <c r="E64" s="85" t="s">
        <v>33</v>
      </c>
      <c r="F64" s="101">
        <f>G55+G59</f>
        <v>4895.2799806666662</v>
      </c>
      <c r="G64" s="139">
        <f>D64-F64</f>
        <v>4804.7200193333338</v>
      </c>
      <c r="H64" s="139">
        <f>G64/$B$5</f>
        <v>2.4023600096666669</v>
      </c>
      <c r="I64" s="142">
        <f>I7-I61</f>
        <v>72070.800290000014</v>
      </c>
      <c r="J64" s="139">
        <f>(G64*$B$8)/($B$71+$D$71)</f>
        <v>30.196840947752133</v>
      </c>
    </row>
    <row r="65" spans="1:10" ht="13.15" customHeight="1" thickBot="1" x14ac:dyDescent="0.3">
      <c r="A65" s="23" t="s">
        <v>5</v>
      </c>
      <c r="B65" s="54"/>
      <c r="C65" s="54"/>
      <c r="D65" s="102">
        <f>G7</f>
        <v>9700</v>
      </c>
      <c r="E65" s="90" t="s">
        <v>33</v>
      </c>
      <c r="F65" s="102">
        <f>G55</f>
        <v>3408.5699806666667</v>
      </c>
      <c r="G65" s="140">
        <f>D65-F65</f>
        <v>6291.4300193333329</v>
      </c>
      <c r="H65" s="140">
        <f>G65/$B$5</f>
        <v>3.1457150096666666</v>
      </c>
      <c r="I65" s="143">
        <f>I7-I55</f>
        <v>94371.450290000008</v>
      </c>
      <c r="J65" s="140">
        <f>(G65*$B$8)/($B$71+$D$71)</f>
        <v>39.540558214270753</v>
      </c>
    </row>
    <row r="66" spans="1:10" ht="7.9" customHeight="1" thickBot="1" x14ac:dyDescent="0.3">
      <c r="A66" s="24"/>
      <c r="B66" s="63"/>
      <c r="C66" s="63"/>
      <c r="D66" s="63"/>
      <c r="E66" s="94"/>
      <c r="F66" s="63"/>
      <c r="G66" s="63"/>
      <c r="H66" s="63"/>
      <c r="I66" s="63"/>
      <c r="J66" s="26"/>
    </row>
    <row r="67" spans="1:10" ht="13.9" customHeight="1" thickTop="1" x14ac:dyDescent="0.25">
      <c r="A67" s="7" t="s">
        <v>62</v>
      </c>
      <c r="B67" s="43"/>
      <c r="C67" s="43"/>
      <c r="D67" s="43"/>
      <c r="E67" s="85"/>
      <c r="G67" s="112" t="s">
        <v>89</v>
      </c>
      <c r="H67" s="112" t="s">
        <v>61</v>
      </c>
      <c r="I67" s="112" t="s">
        <v>11</v>
      </c>
      <c r="J67" s="8"/>
    </row>
    <row r="68" spans="1:10" ht="13.15" customHeight="1" x14ac:dyDescent="0.25">
      <c r="A68" s="9" t="s">
        <v>25</v>
      </c>
      <c r="B68" s="64"/>
      <c r="C68" s="64"/>
      <c r="D68" s="43"/>
      <c r="E68" s="85"/>
      <c r="G68" s="68">
        <f>G61</f>
        <v>4895.2799806666662</v>
      </c>
      <c r="H68" s="68">
        <f>G68/$B$5</f>
        <v>2.4476399903333332</v>
      </c>
      <c r="I68" s="53">
        <f>I61</f>
        <v>73429.199709999986</v>
      </c>
      <c r="J68" s="129"/>
    </row>
    <row r="69" spans="1:10" ht="13.15" customHeight="1" x14ac:dyDescent="0.25">
      <c r="A69" s="9" t="s">
        <v>26</v>
      </c>
      <c r="B69" s="64"/>
      <c r="C69" s="64"/>
      <c r="D69" s="43"/>
      <c r="E69" s="85"/>
      <c r="G69" s="68">
        <f>G55</f>
        <v>3408.5699806666667</v>
      </c>
      <c r="H69" s="68">
        <f>G69/$B$5</f>
        <v>1.7042849903333332</v>
      </c>
      <c r="I69" s="53">
        <f>I55</f>
        <v>51128.549709999992</v>
      </c>
      <c r="J69" s="135"/>
    </row>
    <row r="70" spans="1:10" ht="13.15" customHeight="1" x14ac:dyDescent="0.25">
      <c r="A70" s="152" t="s">
        <v>116</v>
      </c>
      <c r="B70" s="154" t="s">
        <v>117</v>
      </c>
      <c r="C70" s="155"/>
      <c r="D70" s="154" t="s">
        <v>118</v>
      </c>
      <c r="E70" s="95"/>
      <c r="F70" s="18"/>
      <c r="G70" s="18"/>
      <c r="H70" s="18"/>
      <c r="I70" s="18"/>
      <c r="J70" s="8"/>
    </row>
    <row r="71" spans="1:10" x14ac:dyDescent="0.25">
      <c r="A71" s="156" t="s">
        <v>119</v>
      </c>
      <c r="B71" s="157">
        <v>2121.6999999999998</v>
      </c>
      <c r="C71" s="6"/>
      <c r="D71" s="158">
        <f>(40+225)</f>
        <v>265</v>
      </c>
      <c r="G71" s="31"/>
      <c r="H71" s="31" t="s">
        <v>15</v>
      </c>
      <c r="I71" s="31"/>
      <c r="J71" s="12"/>
    </row>
    <row r="72" spans="1:10" ht="7.9" customHeight="1" x14ac:dyDescent="0.25">
      <c r="A72" s="6"/>
      <c r="B72" s="6"/>
      <c r="C72" s="6"/>
      <c r="D72" s="6"/>
      <c r="E72" s="97"/>
      <c r="F72" s="6"/>
      <c r="G72" s="6"/>
      <c r="H72" s="6"/>
      <c r="I72" s="6"/>
      <c r="J72" s="6"/>
    </row>
    <row r="73" spans="1:10" ht="18.75" x14ac:dyDescent="0.3">
      <c r="A73" s="13" t="s">
        <v>17</v>
      </c>
      <c r="B73" s="6"/>
      <c r="C73" s="6"/>
      <c r="D73" s="6"/>
      <c r="E73" s="97"/>
      <c r="F73" s="6"/>
      <c r="G73" s="6"/>
      <c r="H73" s="6"/>
      <c r="I73" s="6"/>
      <c r="J73" s="11"/>
    </row>
    <row r="74" spans="1:10" ht="9.75" customHeight="1" x14ac:dyDescent="0.3">
      <c r="A74" s="13"/>
      <c r="B74" s="6"/>
      <c r="C74" s="6"/>
      <c r="D74" s="6"/>
      <c r="E74" s="97"/>
      <c r="F74" s="6"/>
      <c r="G74" s="6"/>
      <c r="H74" s="6"/>
      <c r="I74" s="6"/>
      <c r="J74" s="11"/>
    </row>
    <row r="75" spans="1:10" x14ac:dyDescent="0.25">
      <c r="A75" s="14" t="s">
        <v>20</v>
      </c>
      <c r="B75" s="6"/>
      <c r="C75" s="6"/>
      <c r="D75" s="6"/>
      <c r="E75" s="97"/>
      <c r="F75" s="6"/>
      <c r="G75" s="6"/>
      <c r="H75" s="6"/>
      <c r="I75" s="6"/>
      <c r="J75" s="11"/>
    </row>
    <row r="76" spans="1:10" ht="46.9" customHeight="1" x14ac:dyDescent="0.25">
      <c r="A76" s="172" t="s">
        <v>67</v>
      </c>
      <c r="B76" s="173"/>
      <c r="C76" s="173"/>
      <c r="D76" s="173"/>
      <c r="E76" s="173"/>
      <c r="F76" s="173"/>
      <c r="G76" s="173"/>
      <c r="H76" s="173"/>
      <c r="I76" s="173"/>
      <c r="J76" s="173"/>
    </row>
    <row r="77" spans="1:10" ht="57.75" customHeight="1" x14ac:dyDescent="0.25">
      <c r="A77" s="174" t="s">
        <v>68</v>
      </c>
      <c r="B77" s="171"/>
      <c r="C77" s="171"/>
      <c r="D77" s="171"/>
      <c r="E77" s="171"/>
      <c r="F77" s="171"/>
      <c r="G77" s="171"/>
      <c r="H77" s="171"/>
      <c r="I77" s="171"/>
      <c r="J77" s="171"/>
    </row>
    <row r="78" spans="1:10" s="1" customFormat="1" ht="19.899999999999999" customHeight="1" x14ac:dyDescent="0.25">
      <c r="A78" s="33" t="s">
        <v>19</v>
      </c>
      <c r="B78" s="6"/>
      <c r="C78" s="6"/>
      <c r="D78" s="6"/>
      <c r="E78" s="97"/>
      <c r="F78" s="6"/>
      <c r="G78" s="6"/>
      <c r="H78" s="6"/>
      <c r="I78" s="6"/>
      <c r="J78" s="11"/>
    </row>
    <row r="79" spans="1:10" ht="16.899999999999999" customHeight="1" x14ac:dyDescent="0.25">
      <c r="A79" s="169" t="s">
        <v>69</v>
      </c>
      <c r="B79" s="170"/>
      <c r="C79" s="170"/>
      <c r="D79" s="170"/>
      <c r="E79" s="170"/>
      <c r="F79" s="170"/>
      <c r="G79" s="170"/>
      <c r="H79" s="170"/>
      <c r="I79" s="170"/>
      <c r="J79" s="170"/>
    </row>
    <row r="80" spans="1:10" ht="16.149999999999999" customHeight="1" x14ac:dyDescent="0.25">
      <c r="A80" s="169" t="s">
        <v>63</v>
      </c>
      <c r="B80" s="170"/>
      <c r="C80" s="170"/>
      <c r="D80" s="170"/>
      <c r="E80" s="170"/>
      <c r="F80" s="170"/>
      <c r="G80" s="170"/>
      <c r="H80" s="170"/>
      <c r="I80" s="170"/>
      <c r="J80" s="170"/>
    </row>
    <row r="81" spans="1:10" ht="15" customHeight="1" x14ac:dyDescent="0.25">
      <c r="A81" s="175" t="s">
        <v>98</v>
      </c>
      <c r="B81" s="176"/>
      <c r="C81" s="176"/>
      <c r="D81" s="176"/>
      <c r="E81" s="176"/>
      <c r="F81" s="176"/>
      <c r="G81" s="176"/>
      <c r="H81" s="176"/>
      <c r="I81" s="176"/>
      <c r="J81" s="176"/>
    </row>
    <row r="82" spans="1:10" ht="13.9" customHeight="1" x14ac:dyDescent="0.25">
      <c r="A82" s="45" t="s">
        <v>64</v>
      </c>
      <c r="B82" s="6"/>
      <c r="C82" s="6"/>
      <c r="D82" s="6"/>
      <c r="E82" s="97"/>
      <c r="F82" s="6"/>
      <c r="G82" s="121" t="s">
        <v>83</v>
      </c>
      <c r="H82" s="159">
        <f>I32</f>
        <v>1272</v>
      </c>
      <c r="I82" s="45" t="s">
        <v>105</v>
      </c>
      <c r="J82" s="11"/>
    </row>
    <row r="83" spans="1:10" ht="13.5" customHeight="1" x14ac:dyDescent="0.25">
      <c r="A83" s="71"/>
      <c r="B83" s="72"/>
      <c r="C83" s="78"/>
      <c r="D83" s="72"/>
      <c r="E83" s="98"/>
      <c r="F83" s="72"/>
      <c r="G83" s="121" t="s">
        <v>111</v>
      </c>
      <c r="H83" s="159">
        <f>I31</f>
        <v>34</v>
      </c>
      <c r="I83" s="45" t="s">
        <v>105</v>
      </c>
      <c r="J83" s="72"/>
    </row>
    <row r="84" spans="1:10" ht="15" customHeight="1" x14ac:dyDescent="0.25">
      <c r="A84" s="169" t="s">
        <v>70</v>
      </c>
      <c r="B84" s="170"/>
      <c r="C84" s="170"/>
      <c r="D84" s="170"/>
      <c r="E84" s="170"/>
      <c r="F84" s="170"/>
      <c r="G84" s="170"/>
      <c r="J84" s="72"/>
    </row>
    <row r="85" spans="1:10" s="70" customFormat="1" ht="39" customHeight="1" x14ac:dyDescent="0.25">
      <c r="A85" s="32" t="s">
        <v>7</v>
      </c>
      <c r="B85" s="65" t="str">
        <f>CONCATENATE("Cost/acre for Labor @ $",D29,"/hour")</f>
        <v>Cost/acre for Labor @ $16.63/hour</v>
      </c>
      <c r="C85" s="65"/>
      <c r="D85" s="65" t="str">
        <f>CONCATENATE("Cost/acre for Diesel Fuel @ $",D30,"/gallon")</f>
        <v>Cost/acre for Diesel Fuel @ $4.82/gallon</v>
      </c>
      <c r="E85" s="99"/>
      <c r="F85" s="65" t="s">
        <v>81</v>
      </c>
      <c r="G85" s="65" t="s">
        <v>82</v>
      </c>
      <c r="H85" s="65" t="s">
        <v>86</v>
      </c>
      <c r="I85" s="122" t="s">
        <v>8</v>
      </c>
      <c r="J85" s="36" t="s">
        <v>39</v>
      </c>
    </row>
    <row r="86" spans="1:10" ht="12.75" customHeight="1" x14ac:dyDescent="0.25">
      <c r="A86" s="115" t="s">
        <v>73</v>
      </c>
      <c r="B86" s="68"/>
      <c r="C86" s="68"/>
      <c r="D86" s="68"/>
      <c r="E86" s="81"/>
      <c r="F86" s="68"/>
      <c r="G86" s="68"/>
      <c r="H86" s="68"/>
      <c r="I86" s="68"/>
      <c r="J86" s="8"/>
    </row>
    <row r="87" spans="1:10" ht="12.75" customHeight="1" x14ac:dyDescent="0.25">
      <c r="A87" s="15" t="s">
        <v>75</v>
      </c>
      <c r="B87" s="81">
        <f>IF(B19=0,0,((1+7.5+1+1)/15)*$D$29)</f>
        <v>11.640999999999998</v>
      </c>
      <c r="C87" s="68"/>
      <c r="D87" s="81">
        <f>IF(B19=0,0,(((0.9+5.06+0.9+0.9)/15)*$D$30)+($H$83*(G87/$G$99))/$B$8)</f>
        <v>2.853613985871899</v>
      </c>
      <c r="E87" s="81"/>
      <c r="F87" s="81">
        <f>IF(B19=0,0,($H$82*(G87/$G$99))/$B$8)</f>
        <v>13.470753824383952</v>
      </c>
      <c r="G87" s="81">
        <f>IF(B19=0,0,(130.81+43.83+0.98+0.36+1.79+0.82+(4*1.28)+6.01))</f>
        <v>189.71999999999997</v>
      </c>
      <c r="H87" s="68">
        <f>IF(B19=0,0,261.67*(G19/261.67))</f>
        <v>262</v>
      </c>
      <c r="I87" s="48">
        <f>SUM(B87:H87)</f>
        <v>479.6853678102558</v>
      </c>
      <c r="J87" s="129"/>
    </row>
    <row r="88" spans="1:10" ht="12.75" customHeight="1" x14ac:dyDescent="0.25">
      <c r="A88" s="15" t="s">
        <v>76</v>
      </c>
      <c r="B88" s="81">
        <f>IF(B16=0,0,((1+35.76+1+1)/15)*$D$29)</f>
        <v>42.971919999999997</v>
      </c>
      <c r="C88" s="68"/>
      <c r="D88" s="81">
        <f>IF(B16=0,0,(((1+16.7+1+1)/15)*$D$30)+($H$83*(G88/$G$99))/$B$8)</f>
        <v>6.5858362703150775</v>
      </c>
      <c r="E88" s="81"/>
      <c r="F88" s="81">
        <f>IF(B16=0,0,($H$82*(G88/$G$99))/$B$8)</f>
        <v>9.5613098776699506</v>
      </c>
      <c r="G88" s="81">
        <f>IF(B16=0,0,(130.81+3.85))</f>
        <v>134.66</v>
      </c>
      <c r="H88" s="68">
        <f>IF(B16=0,0,40.68*(G16/40.68))</f>
        <v>40.681050666666664</v>
      </c>
      <c r="I88" s="48">
        <f t="shared" ref="I88:I96" si="15">SUM(B88:H88)</f>
        <v>234.46011681465168</v>
      </c>
      <c r="J88" s="129"/>
    </row>
    <row r="89" spans="1:10" ht="12.75" customHeight="1" x14ac:dyDescent="0.25">
      <c r="A89" s="15" t="s">
        <v>99</v>
      </c>
      <c r="B89" s="81">
        <f>((1+16.67)/15)*$D$29</f>
        <v>19.590140000000002</v>
      </c>
      <c r="C89" s="68"/>
      <c r="D89" s="81">
        <f>(((0.7+0+0)/15)*$D$30)+($H$83*(G89/$G$99))/$B$8</f>
        <v>0.2378199931341109</v>
      </c>
      <c r="E89" s="81"/>
      <c r="F89" s="81">
        <f>($H$82*(G89/$G$99))/$B$8</f>
        <v>0.4821126843114435</v>
      </c>
      <c r="G89" s="81">
        <f>(1.94+1.07+1.95+1.33+0.5)</f>
        <v>6.79</v>
      </c>
      <c r="H89" s="53">
        <f>0</f>
        <v>0</v>
      </c>
      <c r="I89" s="48">
        <f t="shared" si="15"/>
        <v>27.100072677445553</v>
      </c>
      <c r="J89" s="129"/>
    </row>
    <row r="90" spans="1:10" ht="12.75" customHeight="1" x14ac:dyDescent="0.25">
      <c r="A90" s="115" t="s">
        <v>74</v>
      </c>
      <c r="B90" s="68"/>
      <c r="C90" s="68"/>
      <c r="D90" s="68"/>
      <c r="E90" s="81"/>
      <c r="F90" s="68"/>
      <c r="G90" s="68"/>
      <c r="H90" s="68"/>
      <c r="I90" s="68"/>
      <c r="J90" s="8"/>
    </row>
    <row r="91" spans="1:10" ht="12.75" customHeight="1" x14ac:dyDescent="0.25">
      <c r="A91" s="15" t="s">
        <v>100</v>
      </c>
      <c r="B91" s="81">
        <f>IF(B14=0,0,(15/15)*$D$29)</f>
        <v>16.63</v>
      </c>
      <c r="C91" s="68"/>
      <c r="D91" s="88">
        <f>IF(B14=0,0,(((0+0+0+0)/15)*$D$30)+($H$83*(G91/$G$99))/$B$8)</f>
        <v>0</v>
      </c>
      <c r="E91" s="81"/>
      <c r="F91" s="160">
        <f>IF(B14=0,0,($H$82*(G91/$G$99))/$B$8)</f>
        <v>0</v>
      </c>
      <c r="G91" s="88">
        <f>0</f>
        <v>0</v>
      </c>
      <c r="H91" s="53">
        <f>0</f>
        <v>0</v>
      </c>
      <c r="I91" s="62">
        <f t="shared" si="15"/>
        <v>16.63</v>
      </c>
      <c r="J91" s="129"/>
    </row>
    <row r="92" spans="1:10" ht="12.75" customHeight="1" x14ac:dyDescent="0.25">
      <c r="A92" s="15" t="s">
        <v>121</v>
      </c>
      <c r="B92" s="81">
        <f>IF(B15=0,0,(11/15)*$D$29)</f>
        <v>12.195333333333332</v>
      </c>
      <c r="C92" s="68"/>
      <c r="D92" s="81">
        <f>IF(B15=0,0,((1.3/15)*$D$30)+($H$83*(G92/$G$99))/$B$8)</f>
        <v>0.50564350740874087</v>
      </c>
      <c r="E92" s="81"/>
      <c r="F92" s="123">
        <f>IF(B15=0,0,($H$82*(G92/$G$99))/$B$8)</f>
        <v>3.2888747477623061</v>
      </c>
      <c r="G92" s="81">
        <f>IF(B15=0,0,(43.83+0.62+0.48+0.46+0.1+0.83))</f>
        <v>46.319999999999993</v>
      </c>
      <c r="H92" s="81">
        <f>IF(B15=0,0,204.35*(G15/204.35))</f>
        <v>204.34499999999997</v>
      </c>
      <c r="I92" s="62">
        <f t="shared" si="15"/>
        <v>266.65485158850436</v>
      </c>
      <c r="J92" s="129"/>
    </row>
    <row r="93" spans="1:10" ht="12.75" customHeight="1" x14ac:dyDescent="0.25">
      <c r="A93" s="15" t="s">
        <v>77</v>
      </c>
      <c r="B93" s="81">
        <f>IF(B14=0,0,(6/15)*$D$29)</f>
        <v>6.6520000000000001</v>
      </c>
      <c r="C93" s="68"/>
      <c r="D93" s="81">
        <f>IF(B14=0,0,((3/15)*$D$30)+($H$83*(G93/$G$99))/$B$8)</f>
        <v>0.99392969441211532</v>
      </c>
      <c r="E93" s="81"/>
      <c r="F93" s="123">
        <f>IF(B14=0,0,($H$82*(G93/$G$99))/$B$8)</f>
        <v>1.1197226850650168</v>
      </c>
      <c r="G93" s="81">
        <f>IF(B14=0,0,(15.77))</f>
        <v>15.77</v>
      </c>
      <c r="H93" s="108">
        <f>IF(B14=0,0,(0.8+0.17)*(G14/0.97))</f>
        <v>0.97071000000000018</v>
      </c>
      <c r="I93" s="62">
        <f t="shared" si="15"/>
        <v>25.506362379477132</v>
      </c>
      <c r="J93" s="129"/>
    </row>
    <row r="94" spans="1:10" ht="12.75" customHeight="1" x14ac:dyDescent="0.25">
      <c r="A94" s="15" t="s">
        <v>78</v>
      </c>
      <c r="B94" s="81">
        <f>IF(D13=0,0,((1+3.75+1+1)/15)*$D$29)</f>
        <v>7.4834999999999994</v>
      </c>
      <c r="C94" s="68"/>
      <c r="D94" s="81">
        <f>IF(D13=0,0,(((1+3.75+1+1)/15)*$D$30)+($H$83*(G94/$G$99))/$B$8)</f>
        <v>2.5134666795053211</v>
      </c>
      <c r="E94" s="81"/>
      <c r="F94" s="123">
        <f>IF(D13=0,0,($H$82*(G94/$G$99))/$B$8)</f>
        <v>12.887106362669661</v>
      </c>
      <c r="G94" s="81">
        <f>IF(D13=0,0,(130.81+0.52+50.17))</f>
        <v>181.5</v>
      </c>
      <c r="H94" s="108">
        <f>IF(D13=0,0,(81.47)*(G13/81.47))</f>
        <v>81.466666666666669</v>
      </c>
      <c r="I94" s="62">
        <f t="shared" si="15"/>
        <v>285.85073970884162</v>
      </c>
      <c r="J94" s="129"/>
    </row>
    <row r="95" spans="1:10" ht="12.75" customHeight="1" x14ac:dyDescent="0.25">
      <c r="A95" s="15" t="s">
        <v>102</v>
      </c>
      <c r="B95" s="81">
        <f>((40+45)/15)*$D$29</f>
        <v>94.236666666666665</v>
      </c>
      <c r="C95" s="68"/>
      <c r="D95" s="81">
        <f>(((13.33+0)/15)*$D$30)+($H$83*(G95/$G$99))/$B$8</f>
        <v>4.4418849425470217</v>
      </c>
      <c r="E95" s="81"/>
      <c r="F95" s="123">
        <f t="shared" ref="F95:F97" si="16">($H$82*(G95/$G$99))/$B$8</f>
        <v>5.9301990270532778</v>
      </c>
      <c r="G95" s="81">
        <f>(0.32+0.69+76.5+6.01)</f>
        <v>83.52000000000001</v>
      </c>
      <c r="H95" s="81">
        <f>(33.33)*(G46/33.33)</f>
        <v>33.333333333333336</v>
      </c>
      <c r="I95" s="62">
        <f t="shared" si="15"/>
        <v>221.46208396960031</v>
      </c>
      <c r="J95" s="129"/>
    </row>
    <row r="96" spans="1:10" ht="12.75" customHeight="1" x14ac:dyDescent="0.25">
      <c r="A96" s="15" t="s">
        <v>101</v>
      </c>
      <c r="B96" s="81">
        <f>((225+0)/15)*$D$29</f>
        <v>249.45</v>
      </c>
      <c r="C96" s="68"/>
      <c r="D96" s="88">
        <f>((0/15)*$D$30)+($H$83*(G96/$G$99))/$B$8</f>
        <v>0.20449743645563828</v>
      </c>
      <c r="E96" s="81"/>
      <c r="F96" s="123">
        <f t="shared" si="16"/>
        <v>7.6506099756344677</v>
      </c>
      <c r="G96" s="81">
        <f>(25.24+76.5+6.01)</f>
        <v>107.75</v>
      </c>
      <c r="H96" s="88">
        <v>0</v>
      </c>
      <c r="I96" s="62">
        <f t="shared" si="15"/>
        <v>365.05510741209008</v>
      </c>
      <c r="J96" s="129"/>
    </row>
    <row r="97" spans="1:10" ht="12.75" customHeight="1" x14ac:dyDescent="0.25">
      <c r="A97" s="15" t="s">
        <v>103</v>
      </c>
      <c r="B97" s="81">
        <f>(1711/15)*$D$29</f>
        <v>1896.9286666666665</v>
      </c>
      <c r="C97" s="68"/>
      <c r="D97" s="88">
        <f>(((0+0)/15)*$D$30)+($H$83*(G97/$G$99))/$B$8</f>
        <v>0.45276017114484518</v>
      </c>
      <c r="E97" s="81"/>
      <c r="F97" s="123">
        <f t="shared" si="16"/>
        <v>16.938556991065973</v>
      </c>
      <c r="G97" s="81">
        <f>(130.81+25.24+76.5+6.01)</f>
        <v>238.56</v>
      </c>
      <c r="H97" s="81">
        <f>(226.67)*(G43/226.67)</f>
        <v>226.66666666666666</v>
      </c>
      <c r="I97" s="62">
        <f t="shared" ref="I97" si="17">SUM(B97:H97)</f>
        <v>2379.5466504955439</v>
      </c>
      <c r="J97" s="129"/>
    </row>
    <row r="98" spans="1:10" ht="12.75" customHeight="1" x14ac:dyDescent="0.25">
      <c r="A98" s="44" t="s">
        <v>75</v>
      </c>
      <c r="B98" s="84">
        <f>IF(B19=0,0,((1+7.5+1+1)/15)*$D$29)</f>
        <v>11.640999999999998</v>
      </c>
      <c r="C98" s="66"/>
      <c r="D98" s="84">
        <f>IF(B19=0,0,(((0.9+0.6+0.9+0.9)/15)*$D$30)+($H$83*(G98/$G$99))/$B$8)</f>
        <v>1.4204673192052315</v>
      </c>
      <c r="E98" s="84"/>
      <c r="F98" s="84">
        <f>IF(B19=0,0,($H$82*(G98/$G$99))/$B$8)</f>
        <v>13.470753824383952</v>
      </c>
      <c r="G98" s="84">
        <f>IF(B19=0,0,(130.81+43.83+0.98+0.36+1.79+0.82+(4*1.28)+6.01))</f>
        <v>189.71999999999997</v>
      </c>
      <c r="H98" s="66">
        <f>IF(B19=0,0,261.67*(G19/261.67))</f>
        <v>262</v>
      </c>
      <c r="I98" s="67">
        <f>SUM(B98:H98)</f>
        <v>478.25222114358917</v>
      </c>
      <c r="J98" s="138"/>
    </row>
    <row r="99" spans="1:10" ht="12.75" customHeight="1" x14ac:dyDescent="0.25">
      <c r="A99" s="34" t="s">
        <v>27</v>
      </c>
      <c r="B99" s="66">
        <f>SUM(B87:B98)</f>
        <v>2369.4202266666666</v>
      </c>
      <c r="C99" s="66"/>
      <c r="D99" s="66">
        <f>SUM(D87:D98)</f>
        <v>20.209920000000004</v>
      </c>
      <c r="E99" s="84"/>
      <c r="F99" s="66">
        <f>SUM(F87:F98)</f>
        <v>84.8</v>
      </c>
      <c r="G99" s="66">
        <f>SUM(G87:G98)</f>
        <v>1194.31</v>
      </c>
      <c r="H99" s="66">
        <f>SUM(H87:H98)</f>
        <v>1111.4634273333334</v>
      </c>
      <c r="I99" s="67">
        <f>SUM(D99:G99)</f>
        <v>1299.3199199999999</v>
      </c>
      <c r="J99" s="35"/>
    </row>
    <row r="100" spans="1:10" ht="18" customHeight="1" x14ac:dyDescent="0.25">
      <c r="A100" s="69" t="s">
        <v>84</v>
      </c>
      <c r="B100" s="37"/>
      <c r="C100" s="37"/>
      <c r="D100" s="37"/>
      <c r="E100" s="100"/>
      <c r="F100" s="37"/>
      <c r="G100" s="77"/>
      <c r="H100" s="77"/>
      <c r="I100" s="77"/>
      <c r="J100" s="11"/>
    </row>
    <row r="101" spans="1:10" ht="37.9" hidden="1" customHeight="1" x14ac:dyDescent="0.25">
      <c r="A101" s="171"/>
      <c r="B101" s="171"/>
      <c r="C101" s="171"/>
      <c r="D101" s="171"/>
      <c r="E101" s="171"/>
      <c r="F101" s="171"/>
      <c r="G101" s="171"/>
      <c r="H101" s="171"/>
      <c r="I101" s="171"/>
      <c r="J101" s="171"/>
    </row>
    <row r="102" spans="1:10" ht="13.9" customHeight="1" x14ac:dyDescent="0.25">
      <c r="A102" s="16" t="s">
        <v>16</v>
      </c>
      <c r="B102" s="17"/>
      <c r="C102" s="17"/>
      <c r="D102" s="6"/>
      <c r="E102" s="97"/>
      <c r="F102" s="6"/>
      <c r="G102" s="6"/>
      <c r="H102" s="6"/>
      <c r="I102" s="6"/>
      <c r="J102" s="11"/>
    </row>
    <row r="103" spans="1:10" ht="16.899999999999999" customHeight="1" x14ac:dyDescent="0.25">
      <c r="A103" s="45" t="s">
        <v>37</v>
      </c>
      <c r="B103" s="6"/>
      <c r="C103" s="6"/>
      <c r="D103" s="6"/>
      <c r="E103" s="97"/>
      <c r="F103" s="6"/>
      <c r="G103" s="6"/>
      <c r="H103" s="6"/>
      <c r="I103" s="6"/>
      <c r="J103" s="11"/>
    </row>
    <row r="104" spans="1:10" ht="24" customHeight="1" x14ac:dyDescent="0.25"/>
    <row r="105" spans="1:10" ht="16.899999999999999" customHeight="1" x14ac:dyDescent="0.25">
      <c r="J105" s="4"/>
    </row>
    <row r="106" spans="1:10" ht="13.9" customHeight="1" x14ac:dyDescent="0.25">
      <c r="J106" s="4"/>
    </row>
    <row r="107" spans="1:10" ht="13.9" customHeight="1" x14ac:dyDescent="0.25">
      <c r="J107" s="4"/>
    </row>
    <row r="108" spans="1:10" ht="13.9" customHeight="1" x14ac:dyDescent="0.25">
      <c r="J108" s="4"/>
    </row>
    <row r="109" spans="1:10" ht="13.9" customHeight="1" x14ac:dyDescent="0.25">
      <c r="J109" s="4"/>
    </row>
    <row r="110" spans="1:10" ht="13.9" customHeight="1" x14ac:dyDescent="0.25">
      <c r="J110" s="4"/>
    </row>
    <row r="111" spans="1:10" ht="13.9" customHeight="1" x14ac:dyDescent="0.25">
      <c r="J111" s="4"/>
    </row>
    <row r="112" spans="1:10" ht="13.9" customHeight="1" x14ac:dyDescent="0.25">
      <c r="J112" s="4"/>
    </row>
    <row r="113" spans="10:10" ht="13.9" customHeight="1" x14ac:dyDescent="0.25">
      <c r="J113" s="4"/>
    </row>
    <row r="114" spans="10:10" ht="13.9" customHeight="1" x14ac:dyDescent="0.25">
      <c r="J114" s="4"/>
    </row>
    <row r="115" spans="10:10" ht="13.9" customHeight="1" x14ac:dyDescent="0.25">
      <c r="J115" s="4"/>
    </row>
    <row r="116" spans="10:10" ht="6.75" customHeight="1" x14ac:dyDescent="0.25">
      <c r="J116" s="4"/>
    </row>
    <row r="117" spans="10:10" ht="13.9" customHeight="1" x14ac:dyDescent="0.25">
      <c r="J117" s="4"/>
    </row>
    <row r="118" spans="10:10" ht="13.9" customHeight="1" x14ac:dyDescent="0.25">
      <c r="J118" s="4"/>
    </row>
    <row r="119" spans="10:10" ht="13.9" customHeight="1" x14ac:dyDescent="0.25">
      <c r="J119" s="4"/>
    </row>
    <row r="120" spans="10:10" ht="13.9" customHeight="1" x14ac:dyDescent="0.25">
      <c r="J120" s="4"/>
    </row>
    <row r="121" spans="10:10" ht="13.9" customHeight="1" x14ac:dyDescent="0.25">
      <c r="J121" s="4"/>
    </row>
    <row r="122" spans="10:10" ht="13.9" customHeight="1" x14ac:dyDescent="0.25">
      <c r="J122" s="4"/>
    </row>
    <row r="123" spans="10:10" ht="13.9" customHeight="1" x14ac:dyDescent="0.25">
      <c r="J123" s="4"/>
    </row>
    <row r="124" spans="10:10" ht="13.9" customHeight="1" x14ac:dyDescent="0.25">
      <c r="J124" s="4"/>
    </row>
    <row r="125" spans="10:10" ht="13.9" customHeight="1" x14ac:dyDescent="0.25"/>
    <row r="126" spans="10:10" ht="13.9" customHeight="1" x14ac:dyDescent="0.25"/>
  </sheetData>
  <sheetProtection algorithmName="SHA-512" hashValue="0Zt9eEMPbHEEn1BLsNWuPjw3cJ3msXkL6Y8jV4Gdo1FSaDpMQSX1Izg/mOnEOpZ1yTGxOHl2W1M2hZSPJyXw4A==" saltValue="2Vo95A+dL1H82qe16xb3OA==" spinCount="100000" sheet="1" objects="1" scenarios="1" selectLockedCells="1"/>
  <mergeCells count="13">
    <mergeCell ref="A84:G84"/>
    <mergeCell ref="A101:J101"/>
    <mergeCell ref="A76:J76"/>
    <mergeCell ref="A77:J77"/>
    <mergeCell ref="A79:J79"/>
    <mergeCell ref="A80:J80"/>
    <mergeCell ref="A81:J81"/>
    <mergeCell ref="B54:D54"/>
    <mergeCell ref="A1:J1"/>
    <mergeCell ref="A2:J2"/>
    <mergeCell ref="A3:J3"/>
    <mergeCell ref="B22:D22"/>
    <mergeCell ref="B33:D33"/>
  </mergeCells>
  <pageMargins left="0.7" right="0.7" top="0.75" bottom="0.75" header="0.3" footer="0.3"/>
  <pageSetup scale="56" orientation="portrait" r:id="rId1"/>
  <rowBreaks count="1" manualBreakCount="1">
    <brk id="71" max="9" man="1"/>
  </rowBreaks>
  <drawing r:id="rId2"/>
  <legacyDrawing r:id="rId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Wild BB-ORG 15 acres-FRSH</vt:lpstr>
      <vt:lpstr>'Wild BB-ORG 15 acres-FRSH'!Print_Area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 Mallory</dc:creator>
  <cp:lastModifiedBy>CE Owner</cp:lastModifiedBy>
  <cp:lastPrinted>2024-04-26T14:50:26Z</cp:lastPrinted>
  <dcterms:created xsi:type="dcterms:W3CDTF">2010-01-08T17:04:22Z</dcterms:created>
  <dcterms:modified xsi:type="dcterms:W3CDTF">2024-05-14T17:00:04Z</dcterms:modified>
</cp:coreProperties>
</file>