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ORG5-FRZ\"/>
    </mc:Choice>
  </mc:AlternateContent>
  <bookViews>
    <workbookView xWindow="0" yWindow="0" windowWidth="24000" windowHeight="9135" tabRatio="616"/>
  </bookViews>
  <sheets>
    <sheet name="Wild BB-ORG 15 acres-FRSH"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BB-ORG 15 acres-FRSH'!$A$1:$J$102</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H95" i="11" l="1"/>
  <c r="G97" i="11"/>
  <c r="G95" i="11"/>
  <c r="G96" i="11"/>
  <c r="G92" i="11"/>
  <c r="G89" i="11"/>
  <c r="G87" i="11"/>
  <c r="G94" i="11"/>
  <c r="G93" i="11"/>
  <c r="G88" i="11"/>
  <c r="B96" i="11" l="1"/>
  <c r="H91" i="11"/>
  <c r="H89" i="11"/>
  <c r="B97" i="11"/>
  <c r="B95" i="11"/>
  <c r="B94" i="11"/>
  <c r="B93" i="11"/>
  <c r="B92" i="11"/>
  <c r="B91" i="11"/>
  <c r="B89" i="11"/>
  <c r="B88" i="11"/>
  <c r="B87" i="11"/>
  <c r="B85" i="11" l="1"/>
  <c r="D71" i="11" l="1"/>
  <c r="D85" i="11" l="1"/>
  <c r="G26" i="11" l="1"/>
  <c r="I26" i="11" s="1"/>
  <c r="H26" i="11" l="1"/>
  <c r="G28" i="11" l="1"/>
  <c r="I28" i="11" s="1"/>
  <c r="G27" i="11"/>
  <c r="G25" i="11"/>
  <c r="H25" i="11" s="1"/>
  <c r="G29" i="11"/>
  <c r="I29" i="11" s="1"/>
  <c r="I25" i="11" l="1"/>
  <c r="H27" i="11"/>
  <c r="I27" i="11"/>
  <c r="H28" i="11"/>
  <c r="H29" i="11"/>
  <c r="G49" i="11"/>
  <c r="I49" i="11" s="1"/>
  <c r="H49" i="11" l="1"/>
  <c r="A1" i="11"/>
  <c r="G53" i="11" l="1"/>
  <c r="I53" i="11" s="1"/>
  <c r="G21" i="11"/>
  <c r="I21" i="11" s="1"/>
  <c r="H53" i="11" l="1"/>
  <c r="H21" i="11"/>
  <c r="G43" i="11" l="1"/>
  <c r="B48" i="11"/>
  <c r="G48" i="11" s="1"/>
  <c r="B47" i="11"/>
  <c r="G47" i="11" s="1"/>
  <c r="I43" i="11" l="1"/>
  <c r="H43" i="11"/>
  <c r="I47" i="11"/>
  <c r="H47" i="11"/>
  <c r="I48" i="11"/>
  <c r="H48" i="11"/>
  <c r="G20" i="11" l="1"/>
  <c r="G19" i="11"/>
  <c r="H97" i="11" l="1"/>
  <c r="H87" i="11"/>
  <c r="I19" i="11"/>
  <c r="H19" i="11"/>
  <c r="G11" i="11"/>
  <c r="I11" i="11" l="1"/>
  <c r="G5" i="11"/>
  <c r="H5" i="11" s="1"/>
  <c r="H11" i="11"/>
  <c r="G31" i="11"/>
  <c r="H31" i="11" s="1"/>
  <c r="G52" i="11"/>
  <c r="H52" i="11" s="1"/>
  <c r="G50" i="11"/>
  <c r="H50" i="11" s="1"/>
  <c r="G40" i="11"/>
  <c r="H40" i="11" s="1"/>
  <c r="G51" i="11"/>
  <c r="H51" i="11" s="1"/>
  <c r="G46" i="11"/>
  <c r="G45" i="11"/>
  <c r="H45" i="11" s="1"/>
  <c r="G44" i="11"/>
  <c r="H44" i="11" s="1"/>
  <c r="G42" i="11"/>
  <c r="H42" i="11" s="1"/>
  <c r="G41" i="11"/>
  <c r="H41" i="11" s="1"/>
  <c r="G39" i="11"/>
  <c r="H39" i="11" s="1"/>
  <c r="G38" i="11"/>
  <c r="H38" i="11" s="1"/>
  <c r="G37" i="11"/>
  <c r="H37" i="11" s="1"/>
  <c r="G36" i="11"/>
  <c r="H36" i="11" s="1"/>
  <c r="G35" i="11"/>
  <c r="H20" i="11"/>
  <c r="G14" i="11"/>
  <c r="H93" i="11" s="1"/>
  <c r="G16" i="11"/>
  <c r="H88" i="11" s="1"/>
  <c r="G15" i="11"/>
  <c r="H15" i="11" s="1"/>
  <c r="G13" i="11"/>
  <c r="H94" i="11" s="1"/>
  <c r="G58" i="11"/>
  <c r="H58" i="11" s="1"/>
  <c r="G57" i="11"/>
  <c r="H57" i="11" s="1"/>
  <c r="G32" i="11"/>
  <c r="H32" i="11" s="1"/>
  <c r="G30" i="11"/>
  <c r="I16" i="11" l="1"/>
  <c r="H46" i="11"/>
  <c r="H30" i="11"/>
  <c r="H33" i="11" s="1"/>
  <c r="G33" i="11"/>
  <c r="H35" i="11"/>
  <c r="G54" i="11"/>
  <c r="G22" i="11"/>
  <c r="I58" i="11"/>
  <c r="H14" i="11"/>
  <c r="I15" i="11"/>
  <c r="I50" i="11"/>
  <c r="I57" i="11"/>
  <c r="I45" i="11"/>
  <c r="I35" i="11"/>
  <c r="I39" i="11"/>
  <c r="H13" i="11"/>
  <c r="I40" i="11"/>
  <c r="B98" i="11"/>
  <c r="I32" i="11"/>
  <c r="H82" i="11" s="1"/>
  <c r="I51" i="11"/>
  <c r="I44" i="11"/>
  <c r="I38" i="11"/>
  <c r="H16" i="11"/>
  <c r="I13" i="11"/>
  <c r="I31" i="11"/>
  <c r="I52" i="11"/>
  <c r="I46" i="11"/>
  <c r="I42" i="11"/>
  <c r="I37" i="11"/>
  <c r="G98" i="11"/>
  <c r="I14" i="11"/>
  <c r="I20" i="11"/>
  <c r="I30" i="11"/>
  <c r="I41" i="11"/>
  <c r="I36" i="11"/>
  <c r="G59" i="11"/>
  <c r="I5" i="11"/>
  <c r="H59" i="11"/>
  <c r="F87" i="11" l="1"/>
  <c r="D97" i="11"/>
  <c r="D96" i="11"/>
  <c r="F94" i="11"/>
  <c r="D94" i="11"/>
  <c r="F92" i="11"/>
  <c r="D92" i="11"/>
  <c r="D91" i="11"/>
  <c r="F93" i="11"/>
  <c r="F91" i="11"/>
  <c r="D93" i="11"/>
  <c r="D88" i="11"/>
  <c r="F88" i="11"/>
  <c r="F96" i="11"/>
  <c r="F95" i="11"/>
  <c r="F97" i="11"/>
  <c r="F89" i="11"/>
  <c r="H83" i="11"/>
  <c r="D95" i="11" s="1"/>
  <c r="H22" i="11"/>
  <c r="I22" i="11"/>
  <c r="I54" i="11"/>
  <c r="I59" i="11"/>
  <c r="H54" i="11"/>
  <c r="G55" i="11"/>
  <c r="G61" i="11" s="1"/>
  <c r="I33" i="11"/>
  <c r="H98" i="11"/>
  <c r="H55" i="11" l="1"/>
  <c r="H61" i="11" s="1"/>
  <c r="D87" i="11"/>
  <c r="D89" i="11"/>
  <c r="I89" i="11" s="1"/>
  <c r="I91" i="11"/>
  <c r="I93" i="11"/>
  <c r="I96" i="11"/>
  <c r="I95" i="11"/>
  <c r="I92" i="11"/>
  <c r="I88" i="11"/>
  <c r="I94" i="11"/>
  <c r="I97" i="11"/>
  <c r="I55" i="11"/>
  <c r="I61" i="11" s="1"/>
  <c r="I68" i="11" s="1"/>
  <c r="F98" i="11"/>
  <c r="G6" i="11"/>
  <c r="I69" i="11" l="1"/>
  <c r="H6" i="11"/>
  <c r="H7" i="11" s="1"/>
  <c r="I6" i="11"/>
  <c r="I7" i="11" s="1"/>
  <c r="G7" i="11"/>
  <c r="I64" i="11" l="1"/>
  <c r="I65" i="11"/>
  <c r="D64" i="11"/>
  <c r="D65" i="11"/>
  <c r="D98" i="11" l="1"/>
  <c r="G68" i="11" l="1"/>
  <c r="H68" i="11" s="1"/>
  <c r="G69" i="11"/>
  <c r="H69" i="11" s="1"/>
  <c r="F65" i="11"/>
  <c r="G65" i="11" s="1"/>
  <c r="F64" i="11"/>
  <c r="G64" i="11" s="1"/>
  <c r="H65" i="11" l="1"/>
  <c r="J65" i="11"/>
  <c r="H64" i="11"/>
  <c r="J64" i="11"/>
  <c r="I87" i="11"/>
  <c r="I98" i="11"/>
</calcChain>
</file>

<file path=xl/comments1.xml><?xml version="1.0" encoding="utf-8"?>
<comments xmlns="http://schemas.openxmlformats.org/spreadsheetml/2006/main">
  <authors>
    <author>CE Owner</author>
  </authors>
  <commentList>
    <comment ref="G87" authorId="0" shapeId="0">
      <text>
        <r>
          <rPr>
            <b/>
            <sz val="9"/>
            <color indexed="81"/>
            <rFont val="Tahoma"/>
            <family val="2"/>
          </rPr>
          <t>Includes older farm pick-up truck, 1 propane tank burner on dolly, 1 propane torch, 1 250-gallon water tank, medium-sized water tank pump, 4 Indian backpack water tanks, and 1 small trailer for water tank</t>
        </r>
      </text>
    </comment>
    <comment ref="H87" authorId="0" shapeId="0">
      <text>
        <r>
          <rPr>
            <b/>
            <sz val="9"/>
            <color indexed="81"/>
            <rFont val="Tahoma"/>
            <family val="2"/>
          </rPr>
          <t>Straw for burning</t>
        </r>
      </text>
    </comment>
    <comment ref="G88" authorId="0" shapeId="0">
      <text>
        <r>
          <rPr>
            <b/>
            <sz val="9"/>
            <color indexed="81"/>
            <rFont val="Tahoma"/>
            <family val="2"/>
          </rPr>
          <t>No tractor and fertilizer specified for this so if selected assume spread by hand</t>
        </r>
      </text>
    </comment>
    <comment ref="H88" authorId="0" shapeId="0">
      <text>
        <r>
          <rPr>
            <b/>
            <sz val="9"/>
            <color indexed="81"/>
            <rFont val="Tahoma"/>
            <family val="2"/>
          </rPr>
          <t>Sulfur for lowering pH</t>
        </r>
      </text>
    </comment>
    <comment ref="G89" authorId="0" shapeId="0">
      <text>
        <r>
          <rPr>
            <b/>
            <sz val="9"/>
            <color indexed="81"/>
            <rFont val="Tahoma"/>
            <family val="2"/>
          </rPr>
          <t>Also includes brush saw/cutter, weed wacker, chainsaw, and chainsaw safety equipment, as well as 3-prong hand weeder</t>
        </r>
      </text>
    </comment>
    <comment ref="H89" authorId="0" shapeId="0">
      <text>
        <r>
          <rPr>
            <b/>
            <sz val="9"/>
            <color indexed="81"/>
            <rFont val="Tahoma"/>
            <family val="2"/>
          </rPr>
          <t>None</t>
        </r>
      </text>
    </comment>
    <comment ref="G91" authorId="0" shapeId="0">
      <text>
        <r>
          <rPr>
            <b/>
            <sz val="9"/>
            <color indexed="81"/>
            <rFont val="Tahoma"/>
            <family val="2"/>
          </rPr>
          <t>Does not involve any vehicles, tractors, nor equipment</t>
        </r>
      </text>
    </comment>
    <comment ref="H91" authorId="0" shapeId="0">
      <text>
        <r>
          <rPr>
            <b/>
            <sz val="9"/>
            <color indexed="81"/>
            <rFont val="Tahoma"/>
            <family val="2"/>
          </rPr>
          <t>No materials used for this</t>
        </r>
      </text>
    </comment>
    <comment ref="G92" authorId="0" shapeId="0">
      <text>
        <r>
          <rPr>
            <b/>
            <sz val="9"/>
            <color indexed="81"/>
            <rFont val="Tahoma"/>
            <family val="2"/>
          </rPr>
          <t>Includes older farm truck
Assume producer owns battery, charger, electrified fence, plastic tool box to weather proof, and voltage tester and these are also included</t>
        </r>
      </text>
    </comment>
    <comment ref="H92" authorId="0" shapeId="0">
      <text>
        <r>
          <rPr>
            <b/>
            <sz val="9"/>
            <color indexed="81"/>
            <rFont val="Tahoma"/>
            <family val="2"/>
          </rPr>
          <t>Assume this is $0 since no other materials used</t>
        </r>
      </text>
    </comment>
    <comment ref="G93" authorId="0" shapeId="0">
      <text>
        <r>
          <rPr>
            <b/>
            <sz val="9"/>
            <color indexed="81"/>
            <rFont val="Tahoma"/>
            <family val="2"/>
          </rPr>
          <t>No ATV specified</t>
        </r>
      </text>
    </comment>
    <comment ref="H93" authorId="0" shapeId="0">
      <text>
        <r>
          <rPr>
            <b/>
            <sz val="9"/>
            <color indexed="81"/>
            <rFont val="Tahoma"/>
            <family val="2"/>
          </rPr>
          <t>Includes trap and trap stake</t>
        </r>
      </text>
    </comment>
    <comment ref="G94" authorId="0" shapeId="0">
      <text>
        <r>
          <rPr>
            <b/>
            <sz val="9"/>
            <color indexed="81"/>
            <rFont val="Tahoma"/>
            <family val="2"/>
          </rPr>
          <t>No tractor and no sprayers specified</t>
        </r>
      </text>
    </comment>
    <comment ref="H94" authorId="0" shapeId="0">
      <text>
        <r>
          <rPr>
            <b/>
            <sz val="9"/>
            <color indexed="81"/>
            <rFont val="Tahoma"/>
            <family val="2"/>
          </rPr>
          <t>Includes Entrust</t>
        </r>
      </text>
    </comment>
    <comment ref="G95" authorId="0" shapeId="0">
      <text>
        <r>
          <rPr>
            <b/>
            <sz val="9"/>
            <color indexed="81"/>
            <rFont val="Tahoma"/>
            <family val="2"/>
          </rPr>
          <t xml:space="preserve">Do not need vehicle and do not equipment
</t>
        </r>
      </text>
    </comment>
    <comment ref="H95" authorId="0" shapeId="0">
      <text>
        <r>
          <rPr>
            <b/>
            <sz val="9"/>
            <color indexed="81"/>
            <rFont val="Tahoma"/>
            <family val="2"/>
          </rPr>
          <t>Assume this is supplies</t>
        </r>
      </text>
    </comment>
    <comment ref="G96" authorId="0" shapeId="0">
      <text>
        <r>
          <rPr>
            <b/>
            <sz val="9"/>
            <color indexed="81"/>
            <rFont val="Tahoma"/>
            <family val="2"/>
          </rPr>
          <t xml:space="preserve">Includes both 7 single-handle rakes and 7 double-handle rakes
Includes older farm truck to transport berries and trailer
</t>
        </r>
      </text>
    </comment>
    <comment ref="H96" authorId="0" shapeId="0">
      <text>
        <r>
          <rPr>
            <b/>
            <sz val="9"/>
            <color indexed="81"/>
            <rFont val="Tahoma"/>
            <family val="2"/>
          </rPr>
          <t>Assume this is $0 since no other materials used</t>
        </r>
      </text>
    </comment>
    <comment ref="G97" authorId="0" shapeId="0">
      <text>
        <r>
          <rPr>
            <b/>
            <sz val="9"/>
            <color indexed="81"/>
            <rFont val="Tahoma"/>
            <family val="2"/>
          </rPr>
          <t>Includes older farm pick-up truck, 1 propane tank burner on dolly, 1 propane torch, 1 250-gallon water tank, medium-sized water tank pump, 4 Indian backpack water tanks, and 1 small trailer for water tank</t>
        </r>
      </text>
    </comment>
    <comment ref="H97" authorId="0" shapeId="0">
      <text>
        <r>
          <rPr>
            <b/>
            <sz val="9"/>
            <color indexed="81"/>
            <rFont val="Tahoma"/>
            <family val="2"/>
          </rPr>
          <t>Straw for burning</t>
        </r>
      </text>
    </comment>
  </commentList>
</comments>
</file>

<file path=xl/sharedStrings.xml><?xml version="1.0" encoding="utf-8"?>
<sst xmlns="http://schemas.openxmlformats.org/spreadsheetml/2006/main" count="164" uniqueCount="121">
  <si>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</si>
  <si>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</si>
  <si>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</si>
  <si>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</si>
  <si>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</si>
  <si>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</si>
  <si>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</si>
  <si>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</si>
  <si>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</si>
  <si>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</si>
  <si>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</si>
  <si>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</si>
  <si>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</si>
  <si>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</si>
  <si>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</si>
  <si>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</si>
  <si>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</si>
  <si>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</si>
  <si>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</si>
  <si>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</si>
  <si>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</si>
  <si>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</si>
  <si>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</si>
  <si>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</si>
  <si>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</si>
  <si>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</si>
  <si>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</si>
  <si>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</si>
  <si>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</si>
  <si>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</si>
  <si>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</si>
  <si>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</si>
  <si>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</si>
  <si>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</si>
  <si>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</si>
  <si>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</si>
  <si>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</si>
  <si>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</si>
  <si>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</si>
  <si>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</si>
  <si>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</si>
  <si>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</si>
  <si>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</si>
  <si>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</si>
  <si>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</si>
  <si>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</si>
  <si>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</si>
  <si>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</si>
  <si>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</si>
  <si>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</si>
  <si>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</si>
  <si>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</si>
  <si>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</si>
  <si>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</si>
  <si>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</si>
  <si>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</si>
  <si>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</si>
  <si>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</si>
  <si>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</si>
  <si>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</si>
  <si>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</si>
  <si>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</si>
  <si>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</si>
  <si>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</si>
  <si>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</si>
  <si>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</si>
  <si>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</si>
  <si>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</si>
  <si>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</si>
  <si>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</si>
  <si>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</si>
  <si>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</si>
  <si>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</si>
  <si>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</si>
  <si>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</si>
  <si>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</si>
  <si>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Spread Sulfur</t>
  </si>
  <si>
    <t xml:space="preserve">   Coordinate Pollination</t>
  </si>
  <si>
    <t xml:space="preserve">   Determine Maggot Fly Threshold</t>
  </si>
  <si>
    <t xml:space="preserve">   Spray (Insecticide)</t>
  </si>
  <si>
    <t>TOTAL REVENUE</t>
  </si>
  <si>
    <t>TOTAL COSTS</t>
  </si>
  <si>
    <t>Cost/acre for Maintenance/Repair*</t>
  </si>
  <si>
    <t>Cost/acre for Depreciation†</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</si>
  <si>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</si>
  <si>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</si>
  <si>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</si>
  <si>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</si>
  <si>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</si>
  <si>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</si>
  <si>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</si>
  <si>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</si>
  <si>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</si>
  <si>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</si>
  <si>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r>
      <t>PROFIT/</t>
    </r>
    <r>
      <rPr>
        <b/>
        <sz val="11"/>
        <color rgb="FFFF0000"/>
        <rFont val="Calibri"/>
        <family val="2"/>
        <scheme val="minor"/>
      </rPr>
      <t>LOSS</t>
    </r>
  </si>
  <si>
    <t>Insecticides (e.g., Entrust)</t>
  </si>
  <si>
    <t>Tax for Wild Blueberries ($/lb - producer)</t>
  </si>
  <si>
    <t>Tax for Wild Blueberries ($/lb - processor)</t>
  </si>
  <si>
    <t>Packaging</t>
  </si>
  <si>
    <t xml:space="preserve">   Weed Removal</t>
  </si>
  <si>
    <t xml:space="preserve">   Monitor and Set Traps</t>
  </si>
  <si>
    <t xml:space="preserve">   Harvest &amp; Transport (Hand Rake)</t>
  </si>
  <si>
    <t xml:space="preserve">   String Field / Manage Harvest (Hand Rake)</t>
  </si>
  <si>
    <t xml:space="preserve">   Other(s) (                     )</t>
  </si>
  <si>
    <t>for crop equipment</t>
  </si>
  <si>
    <t>Other Labor ($/hour)</t>
  </si>
  <si>
    <t>Hand Raking Labor ($/22-lb box)</t>
  </si>
  <si>
    <t>Interest on Operating Loan</t>
  </si>
  <si>
    <t>Testing (Soil &amp; Tissue )</t>
  </si>
  <si>
    <t>Labor</t>
  </si>
  <si>
    <t>Mechanized Raking Labor ($/hour)</t>
  </si>
  <si>
    <t>Hand Rake Labor ($/hour)</t>
  </si>
  <si>
    <t>Walk-behind Mechanized Harvester Labor ($/hour)</t>
  </si>
  <si>
    <r>
      <t>Total Oil for Equipment</t>
    </r>
    <r>
      <rPr>
        <sz val="11"/>
        <color theme="1"/>
        <rFont val="Calibri"/>
        <family val="2"/>
        <scheme val="minor"/>
      </rPr>
      <t>:</t>
    </r>
  </si>
  <si>
    <r>
      <t>Labor Hours (</t>
    </r>
    <r>
      <rPr>
        <i/>
        <sz val="10"/>
        <color theme="1"/>
        <rFont val="Calibri"/>
        <family val="2"/>
        <scheme val="minor"/>
      </rPr>
      <t>Owner(s) &amp; Workers)</t>
    </r>
    <r>
      <rPr>
        <b/>
        <sz val="10"/>
        <color theme="1"/>
        <rFont val="Calibri"/>
        <family val="2"/>
        <scheme val="minor"/>
      </rPr>
      <t xml:space="preserve"> </t>
    </r>
  </si>
  <si>
    <t>Owner(s) Hours</t>
  </si>
  <si>
    <t>Paid Workers Hours</t>
  </si>
  <si>
    <t>Total Annual Hours</t>
  </si>
  <si>
    <r>
      <t>Profit or</t>
    </r>
    <r>
      <rPr>
        <b/>
        <sz val="11"/>
        <color rgb="FFFF0000"/>
        <rFont val="Calibri"/>
        <family val="2"/>
        <scheme val="minor"/>
      </rPr>
      <t xml:space="preserve"> Loss</t>
    </r>
    <r>
      <rPr>
        <b/>
        <sz val="11"/>
        <color theme="1"/>
        <rFont val="Calibri"/>
        <family val="2"/>
        <scheme val="minor"/>
      </rPr>
      <t xml:space="preserve">                /Hour</t>
    </r>
  </si>
  <si>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5 acres of land in fruit in any given year. Total wild blueberry land includes 5 acres of land in prune in any given year for a total of 10 acres. Please update with your farm's figures if desired in yellow highlighted cells.</t>
  </si>
  <si>
    <t xml:space="preserve">Sulfur - Assumes that sulfur is NOT applied 1 in 7.5 years at rate of 0.413 ton per acre which equals 826 pounds per acre.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</si>
</sst>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164" formatCode="&quot;$&quot;#,##0.000_);[Red]\(&quot;$&quot;#,##0.000\)"/>
    <numFmt numFmtId="165" formatCode="&quot;$&quot;#,##0.0000_);[Red]\(&quot;$&quot;#,##0.0000\)"/>
    <numFmt numFmtId="166" formatCode="&quot;$&quot;#,##0.0_);[Red]\(&quot;$&quot;#,##0.0\)"/>
    <numFmt numFmtId="167" formatCode="#,##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5">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4"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5"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4"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0" fontId="0" fillId="2" borderId="12"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0" fontId="23" fillId="0" borderId="0" xfId="0" applyFont="1" applyAlignment="1">
      <alignment horizontal="right" wrapText="1"/>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166" fontId="7" fillId="0" borderId="0" xfId="0" applyNumberFormat="1" applyFont="1" applyAlignment="1">
      <alignment horizontal="right" vertical="center"/>
    </xf>
    <xf numFmtId="165"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0" fontId="10" fillId="0" borderId="0" xfId="0" applyFont="1" applyAlignment="1">
      <alignment vertical="center"/>
    </xf>
    <xf numFmtId="164" fontId="7" fillId="0" borderId="3" xfId="0" applyNumberFormat="1" applyFont="1" applyBorder="1" applyAlignment="1">
      <alignment horizontal="right" vertical="center"/>
    </xf>
    <xf numFmtId="8" fontId="7" fillId="0" borderId="0" xfId="0" applyNumberFormat="1" applyFont="1" applyFill="1" applyAlignment="1" applyProtection="1">
      <alignment horizontal="right" vertical="center"/>
    </xf>
    <xf numFmtId="0" fontId="8" fillId="0" borderId="0" xfId="0" applyFont="1" applyFill="1" applyBorder="1" applyProtection="1"/>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0" fontId="28" fillId="0" borderId="0" xfId="0" applyFont="1" applyAlignment="1">
      <alignment horizontal="center"/>
    </xf>
    <xf numFmtId="0" fontId="7" fillId="0" borderId="0" xfId="0" applyFont="1"/>
    <xf numFmtId="0" fontId="7" fillId="0" borderId="0" xfId="0" applyFont="1" applyAlignment="1">
      <alignment horizontal="right" vertical="center" indent="1"/>
    </xf>
    <xf numFmtId="167" fontId="7" fillId="2" borderId="0" xfId="0" applyNumberFormat="1" applyFont="1" applyFill="1" applyAlignment="1" applyProtection="1">
      <alignment horizontal="center" vertical="center"/>
      <protection locked="0"/>
    </xf>
    <xf numFmtId="6" fontId="8" fillId="0" borderId="0" xfId="0" applyNumberFormat="1" applyFont="1" applyBorder="1"/>
    <xf numFmtId="6" fontId="0" fillId="0" borderId="0" xfId="0" applyNumberFormat="1" applyFont="1" applyFill="1" applyAlignment="1" applyProtection="1">
      <alignment horizontal="right" vertical="center"/>
    </xf>
    <xf numFmtId="6" fontId="7" fillId="0" borderId="0" xfId="0" applyNumberFormat="1" applyFont="1" applyFill="1" applyBorder="1" applyAlignment="1">
      <alignment horizontal="right" vertical="center"/>
    </xf>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70</xdr:row>
      <xdr:rowOff>85725</xdr:rowOff>
    </xdr:from>
    <xdr:to>
      <xdr:col>9</xdr:col>
      <xdr:colOff>1371600</xdr:colOff>
      <xdr:row>70</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5"/>
  <sheetViews>
    <sheetView tabSelected="1" topLeftCell="A5" zoomScaleNormal="100" zoomScaleSheetLayoutView="100" workbookViewId="0">
      <selection activeCell="J6" sqref="J6"/>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9" t="str">
        <f>CONCATENATE("Maine Wild Blueberry Enterprise Budget - ORGANIC Freshpack - ",B8," acres")</f>
        <v>Maine Wild Blueberry Enterprise Budget - ORGANIC Freshpack - 5 acres</v>
      </c>
      <c r="B1" s="170"/>
      <c r="C1" s="170"/>
      <c r="D1" s="170"/>
      <c r="E1" s="170"/>
      <c r="F1" s="170"/>
      <c r="G1" s="170"/>
      <c r="H1" s="170"/>
      <c r="I1" s="170"/>
      <c r="J1" s="170"/>
    </row>
    <row r="2" spans="1:10" ht="45.75" customHeight="1" thickTop="1" x14ac:dyDescent="0.25">
      <c r="A2" s="171" t="s">
        <v>91</v>
      </c>
      <c r="B2" s="172"/>
      <c r="C2" s="172"/>
      <c r="D2" s="172"/>
      <c r="E2" s="172"/>
      <c r="F2" s="172"/>
      <c r="G2" s="172"/>
      <c r="H2" s="172"/>
      <c r="I2" s="172"/>
      <c r="J2" s="172"/>
    </row>
    <row r="3" spans="1:10" ht="66" customHeight="1" thickBot="1" x14ac:dyDescent="0.3">
      <c r="A3" s="173" t="s">
        <v>119</v>
      </c>
      <c r="B3" s="174"/>
      <c r="C3" s="174"/>
      <c r="D3" s="174"/>
      <c r="E3" s="174"/>
      <c r="F3" s="174"/>
      <c r="G3" s="174"/>
      <c r="H3" s="174"/>
      <c r="I3" s="174"/>
      <c r="J3" s="174"/>
    </row>
    <row r="4" spans="1:10" ht="28.9" customHeight="1" thickBot="1" x14ac:dyDescent="0.3">
      <c r="A4" s="29" t="s">
        <v>21</v>
      </c>
      <c r="B4" s="46" t="s">
        <v>86</v>
      </c>
      <c r="C4" s="46"/>
      <c r="D4" s="46" t="s">
        <v>28</v>
      </c>
      <c r="E4" s="83"/>
      <c r="F4" s="46"/>
      <c r="G4" s="46" t="s">
        <v>89</v>
      </c>
      <c r="H4" s="46" t="s">
        <v>35</v>
      </c>
      <c r="I4" s="46" t="s">
        <v>80</v>
      </c>
      <c r="J4" s="30" t="s">
        <v>39</v>
      </c>
    </row>
    <row r="5" spans="1:10" ht="13.15" customHeight="1" x14ac:dyDescent="0.25">
      <c r="A5" s="5" t="s">
        <v>31</v>
      </c>
      <c r="B5" s="125">
        <v>1500</v>
      </c>
      <c r="C5" s="79" t="s">
        <v>34</v>
      </c>
      <c r="D5" s="127">
        <v>1.22</v>
      </c>
      <c r="E5" s="81"/>
      <c r="F5" s="73" t="s">
        <v>29</v>
      </c>
      <c r="G5" s="68">
        <f>B5*D5</f>
        <v>1830</v>
      </c>
      <c r="H5" s="68">
        <f>G5/$B$5</f>
        <v>1.22</v>
      </c>
      <c r="I5" s="117">
        <f>G5*$B$8</f>
        <v>9150</v>
      </c>
      <c r="J5" s="129"/>
    </row>
    <row r="6" spans="1:10" ht="13.15" customHeight="1" x14ac:dyDescent="0.25">
      <c r="A6" s="124" t="s">
        <v>32</v>
      </c>
      <c r="B6" s="126">
        <v>0</v>
      </c>
      <c r="C6" s="80" t="s">
        <v>34</v>
      </c>
      <c r="D6" s="128">
        <v>0</v>
      </c>
      <c r="E6" s="84"/>
      <c r="F6" s="74" t="s">
        <v>29</v>
      </c>
      <c r="G6" s="66">
        <f>B6*D6</f>
        <v>0</v>
      </c>
      <c r="H6" s="66">
        <f>G6/$B$5</f>
        <v>0</v>
      </c>
      <c r="I6" s="118">
        <f>G6*$B$8</f>
        <v>0</v>
      </c>
      <c r="J6" s="129"/>
    </row>
    <row r="7" spans="1:10" ht="13.15" customHeight="1" x14ac:dyDescent="0.25">
      <c r="A7" s="7" t="s">
        <v>11</v>
      </c>
      <c r="B7" s="47"/>
      <c r="C7" s="47"/>
      <c r="D7" s="43"/>
      <c r="E7" s="85"/>
      <c r="F7" s="48"/>
      <c r="G7" s="48">
        <f>SUM(G5:G6)</f>
        <v>1830</v>
      </c>
      <c r="H7" s="48">
        <f>SUM(H5:H6)</f>
        <v>1.22</v>
      </c>
      <c r="I7" s="47">
        <f>SUM(I5:I6)</f>
        <v>9150</v>
      </c>
      <c r="J7" s="8"/>
    </row>
    <row r="8" spans="1:10" ht="13.15" customHeight="1" thickBot="1" x14ac:dyDescent="0.3">
      <c r="A8" s="150" t="s">
        <v>72</v>
      </c>
      <c r="B8" s="151">
        <v>5</v>
      </c>
      <c r="C8" s="43"/>
      <c r="D8" s="43"/>
      <c r="E8" s="85"/>
      <c r="F8" s="43"/>
      <c r="G8" s="43"/>
      <c r="H8" s="43"/>
      <c r="I8" s="55"/>
      <c r="J8" s="25"/>
    </row>
    <row r="9" spans="1:10" ht="28.9" customHeight="1" thickBot="1" x14ac:dyDescent="0.3">
      <c r="A9" s="20" t="s">
        <v>9</v>
      </c>
      <c r="B9" s="104" t="s">
        <v>46</v>
      </c>
      <c r="C9" s="49"/>
      <c r="D9" s="105" t="s">
        <v>71</v>
      </c>
      <c r="E9" s="86"/>
      <c r="F9" s="50"/>
      <c r="G9" s="50" t="s">
        <v>88</v>
      </c>
      <c r="H9" s="50" t="s">
        <v>36</v>
      </c>
      <c r="I9" s="116" t="s">
        <v>81</v>
      </c>
      <c r="J9" s="113" t="s">
        <v>39</v>
      </c>
    </row>
    <row r="10" spans="1:10" ht="15" customHeight="1" x14ac:dyDescent="0.25">
      <c r="A10" s="21" t="s">
        <v>0</v>
      </c>
      <c r="B10" s="51"/>
      <c r="C10" s="51"/>
      <c r="D10" s="51"/>
      <c r="E10" s="87"/>
      <c r="F10" s="51"/>
      <c r="G10" s="51"/>
      <c r="H10" s="51"/>
      <c r="I10" s="51"/>
      <c r="J10" s="8"/>
    </row>
    <row r="11" spans="1:10" ht="13.15" customHeight="1" x14ac:dyDescent="0.25">
      <c r="A11" s="9" t="s">
        <v>6</v>
      </c>
      <c r="B11" s="114" t="s">
        <v>33</v>
      </c>
      <c r="C11" s="52"/>
      <c r="D11" s="130">
        <v>0</v>
      </c>
      <c r="E11" s="81"/>
      <c r="F11" s="73"/>
      <c r="G11" s="68">
        <f>D11/$B$8</f>
        <v>0</v>
      </c>
      <c r="H11" s="68">
        <f>G11/$B$5</f>
        <v>0</v>
      </c>
      <c r="I11" s="53">
        <f>G11*$B$8</f>
        <v>0</v>
      </c>
      <c r="J11" s="129"/>
    </row>
    <row r="12" spans="1:10" ht="13.15" customHeight="1" x14ac:dyDescent="0.25">
      <c r="A12" s="9" t="s">
        <v>38</v>
      </c>
      <c r="B12" s="88"/>
      <c r="C12" s="53"/>
      <c r="D12" s="43"/>
      <c r="E12" s="85"/>
      <c r="F12" s="73"/>
      <c r="G12" s="68"/>
      <c r="H12" s="68"/>
      <c r="I12" s="68"/>
      <c r="J12" s="8"/>
    </row>
    <row r="13" spans="1:10" ht="13.15" customHeight="1" x14ac:dyDescent="0.25">
      <c r="A13" s="39" t="s">
        <v>95</v>
      </c>
      <c r="B13" s="114" t="s">
        <v>33</v>
      </c>
      <c r="C13" s="52"/>
      <c r="D13" s="130">
        <v>0</v>
      </c>
      <c r="E13" s="81"/>
      <c r="F13" s="75"/>
      <c r="G13" s="68">
        <f>D13/$B$8</f>
        <v>0</v>
      </c>
      <c r="H13" s="68">
        <f t="shared" ref="H13:H16" si="0">G13/$B$5</f>
        <v>0</v>
      </c>
      <c r="I13" s="53">
        <f t="shared" ref="I13:I15" si="1">G13*$B$8</f>
        <v>0</v>
      </c>
      <c r="J13" s="129"/>
    </row>
    <row r="14" spans="1:10" ht="13.15" customHeight="1" x14ac:dyDescent="0.25">
      <c r="A14" s="9" t="s">
        <v>41</v>
      </c>
      <c r="B14" s="125">
        <v>0</v>
      </c>
      <c r="C14" s="52"/>
      <c r="D14" s="127">
        <v>3.93</v>
      </c>
      <c r="E14" s="81"/>
      <c r="F14" s="75" t="s">
        <v>29</v>
      </c>
      <c r="G14" s="108">
        <f>B14*D14</f>
        <v>0</v>
      </c>
      <c r="H14" s="109">
        <f t="shared" si="0"/>
        <v>0</v>
      </c>
      <c r="I14" s="53">
        <f t="shared" si="1"/>
        <v>0</v>
      </c>
      <c r="J14" s="133"/>
    </row>
    <row r="15" spans="1:10" ht="13.15" customHeight="1" x14ac:dyDescent="0.25">
      <c r="A15" s="9" t="s">
        <v>40</v>
      </c>
      <c r="B15" s="125">
        <v>0</v>
      </c>
      <c r="C15" s="52"/>
      <c r="D15" s="127">
        <v>136.22999999999999</v>
      </c>
      <c r="E15" s="81"/>
      <c r="F15" s="107" t="s">
        <v>29</v>
      </c>
      <c r="G15" s="108">
        <f>B15*D15</f>
        <v>0</v>
      </c>
      <c r="H15" s="108">
        <f t="shared" si="0"/>
        <v>0</v>
      </c>
      <c r="I15" s="53">
        <f t="shared" si="1"/>
        <v>0</v>
      </c>
      <c r="J15" s="133"/>
    </row>
    <row r="16" spans="1:10" ht="13.15" customHeight="1" x14ac:dyDescent="0.25">
      <c r="A16" s="9" t="s">
        <v>42</v>
      </c>
      <c r="B16" s="125">
        <v>0</v>
      </c>
      <c r="C16" s="52"/>
      <c r="D16" s="127">
        <v>738.76</v>
      </c>
      <c r="E16" s="88"/>
      <c r="F16" s="110" t="s">
        <v>29</v>
      </c>
      <c r="G16" s="108">
        <f>(B16*D16)/7.5</f>
        <v>0</v>
      </c>
      <c r="H16" s="108">
        <f t="shared" si="0"/>
        <v>0</v>
      </c>
      <c r="I16" s="53">
        <f>G16*$B$8</f>
        <v>0</v>
      </c>
      <c r="J16" s="133"/>
    </row>
    <row r="17" spans="1:10" ht="13.15" customHeight="1" x14ac:dyDescent="0.25">
      <c r="A17" s="9" t="s">
        <v>43</v>
      </c>
      <c r="B17" s="53"/>
      <c r="C17" s="53"/>
      <c r="D17" s="43"/>
      <c r="E17" s="85"/>
      <c r="F17" s="73"/>
      <c r="G17" s="68"/>
      <c r="H17" s="111"/>
      <c r="I17" s="111"/>
      <c r="J17" s="10"/>
    </row>
    <row r="18" spans="1:10" ht="13.15" customHeight="1" x14ac:dyDescent="0.25">
      <c r="A18" s="39" t="s">
        <v>45</v>
      </c>
      <c r="B18" s="114" t="s">
        <v>33</v>
      </c>
      <c r="C18" s="52"/>
      <c r="D18" s="148" t="s">
        <v>33</v>
      </c>
      <c r="E18" s="88"/>
      <c r="F18" s="110" t="s">
        <v>29</v>
      </c>
      <c r="G18" s="108" t="s">
        <v>33</v>
      </c>
      <c r="H18" s="103" t="s">
        <v>33</v>
      </c>
      <c r="I18" s="142" t="s">
        <v>33</v>
      </c>
      <c r="J18" s="149"/>
    </row>
    <row r="19" spans="1:10" ht="13.15" customHeight="1" x14ac:dyDescent="0.25">
      <c r="A19" s="39" t="s">
        <v>44</v>
      </c>
      <c r="B19" s="125">
        <v>50</v>
      </c>
      <c r="C19" s="52"/>
      <c r="D19" s="127">
        <v>5.24</v>
      </c>
      <c r="E19" s="88"/>
      <c r="F19" s="110" t="s">
        <v>29</v>
      </c>
      <c r="G19" s="108">
        <f>B19*D19</f>
        <v>262</v>
      </c>
      <c r="H19" s="108">
        <f>G19/B$5</f>
        <v>0.17466666666666666</v>
      </c>
      <c r="I19" s="53">
        <f>G19*$B$8</f>
        <v>1310</v>
      </c>
      <c r="J19" s="129"/>
    </row>
    <row r="20" spans="1:10" ht="13.15" customHeight="1" x14ac:dyDescent="0.25">
      <c r="A20" s="9" t="s">
        <v>47</v>
      </c>
      <c r="B20" s="125">
        <v>100</v>
      </c>
      <c r="C20" s="52"/>
      <c r="D20" s="127">
        <v>5.45</v>
      </c>
      <c r="E20" s="88"/>
      <c r="F20" s="110" t="s">
        <v>29</v>
      </c>
      <c r="G20" s="108">
        <f>B20*D20</f>
        <v>545</v>
      </c>
      <c r="H20" s="108">
        <f>G20/$B$5</f>
        <v>0.36333333333333334</v>
      </c>
      <c r="I20" s="144">
        <f>G20*$B$8</f>
        <v>2725</v>
      </c>
      <c r="J20" s="129"/>
    </row>
    <row r="21" spans="1:10" ht="13.15" customHeight="1" x14ac:dyDescent="0.25">
      <c r="A21" s="145" t="s">
        <v>103</v>
      </c>
      <c r="B21" s="125">
        <v>0</v>
      </c>
      <c r="C21" s="52"/>
      <c r="D21" s="127">
        <v>0</v>
      </c>
      <c r="E21" s="88"/>
      <c r="F21" s="106" t="s">
        <v>29</v>
      </c>
      <c r="G21" s="66">
        <f>(B21*D21)/$B$8</f>
        <v>0</v>
      </c>
      <c r="H21" s="147">
        <f>G21/$B$5</f>
        <v>0</v>
      </c>
      <c r="I21" s="118">
        <f>G21*$B$8</f>
        <v>0</v>
      </c>
      <c r="J21" s="132"/>
    </row>
    <row r="22" spans="1:10" ht="13.15" customHeight="1" x14ac:dyDescent="0.25">
      <c r="A22" s="146" t="s">
        <v>18</v>
      </c>
      <c r="B22" s="167"/>
      <c r="C22" s="167"/>
      <c r="D22" s="168"/>
      <c r="E22" s="89"/>
      <c r="F22" s="68"/>
      <c r="G22" s="119">
        <f>SUM(G11:G21)</f>
        <v>807</v>
      </c>
      <c r="H22" s="119">
        <f>SUM(H11:H21)</f>
        <v>0.53800000000000003</v>
      </c>
      <c r="I22" s="120">
        <f>SUM(I11:I21)</f>
        <v>4035</v>
      </c>
      <c r="J22" s="8"/>
    </row>
    <row r="23" spans="1:10" ht="13.15" customHeight="1" x14ac:dyDescent="0.25">
      <c r="A23" s="28" t="s">
        <v>1</v>
      </c>
      <c r="B23" s="53"/>
      <c r="C23" s="53"/>
      <c r="D23" s="43"/>
      <c r="E23" s="85"/>
      <c r="F23" s="68"/>
      <c r="G23" s="53"/>
      <c r="H23" s="53"/>
      <c r="I23" s="53"/>
      <c r="J23" s="8"/>
    </row>
    <row r="24" spans="1:10" ht="13.15" customHeight="1" x14ac:dyDescent="0.25">
      <c r="A24" s="9" t="s">
        <v>109</v>
      </c>
      <c r="B24" s="53"/>
      <c r="C24" s="53"/>
      <c r="D24" s="43"/>
      <c r="E24" s="85"/>
      <c r="F24" s="68"/>
      <c r="G24" s="53"/>
      <c r="H24" s="53"/>
      <c r="I24" s="53"/>
      <c r="J24" s="156"/>
    </row>
    <row r="25" spans="1:10" ht="13.15" customHeight="1" x14ac:dyDescent="0.25">
      <c r="A25" s="39" t="s">
        <v>106</v>
      </c>
      <c r="B25" s="125">
        <v>0</v>
      </c>
      <c r="C25" s="53"/>
      <c r="D25" s="130">
        <v>0</v>
      </c>
      <c r="E25" s="81"/>
      <c r="F25" s="68"/>
      <c r="G25" s="53">
        <f>(B25*D25)/$B$8</f>
        <v>0</v>
      </c>
      <c r="H25" s="53">
        <f t="shared" ref="H25:H32" si="2">G25/$B$5</f>
        <v>0</v>
      </c>
      <c r="I25" s="53">
        <f>G25*$B$8</f>
        <v>0</v>
      </c>
      <c r="J25" s="129"/>
    </row>
    <row r="26" spans="1:10" ht="13.15" customHeight="1" x14ac:dyDescent="0.25">
      <c r="A26" s="39" t="s">
        <v>111</v>
      </c>
      <c r="B26" s="131">
        <v>56.25</v>
      </c>
      <c r="C26" s="53"/>
      <c r="D26" s="127">
        <v>16.63</v>
      </c>
      <c r="E26" s="81"/>
      <c r="F26" s="68"/>
      <c r="G26" s="53">
        <f>(B26*D26)/$B$8</f>
        <v>187.08750000000001</v>
      </c>
      <c r="H26" s="68">
        <f t="shared" ref="H26" si="3">G26/$B$5</f>
        <v>0.124725</v>
      </c>
      <c r="I26" s="53">
        <f>G26*$B$8</f>
        <v>935.4375</v>
      </c>
      <c r="J26" s="129"/>
    </row>
    <row r="27" spans="1:10" ht="13.15" customHeight="1" x14ac:dyDescent="0.25">
      <c r="A27" s="39" t="s">
        <v>112</v>
      </c>
      <c r="B27" s="125">
        <v>0</v>
      </c>
      <c r="C27" s="53"/>
      <c r="D27" s="127">
        <v>16.63</v>
      </c>
      <c r="E27" s="81"/>
      <c r="F27" s="68"/>
      <c r="G27" s="53">
        <f>(B27*D27)/$B$8</f>
        <v>0</v>
      </c>
      <c r="H27" s="53">
        <f t="shared" si="2"/>
        <v>0</v>
      </c>
      <c r="I27" s="53">
        <f>G27*$B$8</f>
        <v>0</v>
      </c>
      <c r="J27" s="129"/>
    </row>
    <row r="28" spans="1:10" ht="13.15" customHeight="1" x14ac:dyDescent="0.25">
      <c r="A28" s="39" t="s">
        <v>110</v>
      </c>
      <c r="B28" s="125">
        <v>0</v>
      </c>
      <c r="C28" s="53"/>
      <c r="D28" s="127">
        <v>16.63</v>
      </c>
      <c r="E28" s="81"/>
      <c r="F28" s="68"/>
      <c r="G28" s="53">
        <f>(B28*D28)/$B$8</f>
        <v>0</v>
      </c>
      <c r="H28" s="53">
        <f t="shared" si="2"/>
        <v>0</v>
      </c>
      <c r="I28" s="53">
        <f>G28*$B$8</f>
        <v>0</v>
      </c>
      <c r="J28" s="129"/>
    </row>
    <row r="29" spans="1:10" ht="13.15" customHeight="1" x14ac:dyDescent="0.25">
      <c r="A29" s="39" t="s">
        <v>105</v>
      </c>
      <c r="B29" s="131">
        <v>26.19</v>
      </c>
      <c r="C29" s="53"/>
      <c r="D29" s="127">
        <v>16.63</v>
      </c>
      <c r="E29" s="81"/>
      <c r="F29" s="68"/>
      <c r="G29" s="68">
        <f>B29*D29</f>
        <v>435.53969999999998</v>
      </c>
      <c r="H29" s="68">
        <f t="shared" si="2"/>
        <v>0.2903598</v>
      </c>
      <c r="I29" s="53">
        <f t="shared" ref="I29" si="4">G29*$B$8</f>
        <v>2177.6985</v>
      </c>
      <c r="J29" s="129"/>
    </row>
    <row r="30" spans="1:10" ht="13.15" customHeight="1" x14ac:dyDescent="0.25">
      <c r="A30" s="9" t="s">
        <v>65</v>
      </c>
      <c r="B30" s="131">
        <v>6.98</v>
      </c>
      <c r="C30" s="53"/>
      <c r="D30" s="127">
        <v>4.82</v>
      </c>
      <c r="E30" s="81"/>
      <c r="F30" s="68"/>
      <c r="G30" s="68">
        <f>B30*D30</f>
        <v>33.643600000000006</v>
      </c>
      <c r="H30" s="68">
        <f t="shared" si="2"/>
        <v>2.2429066666666671E-2</v>
      </c>
      <c r="I30" s="53">
        <f t="shared" ref="I30:I32" si="5">G30*$B$8</f>
        <v>168.21800000000002</v>
      </c>
      <c r="J30" s="133"/>
    </row>
    <row r="31" spans="1:10" ht="13.15" customHeight="1" x14ac:dyDescent="0.25">
      <c r="A31" s="9" t="s">
        <v>66</v>
      </c>
      <c r="B31" s="114" t="s">
        <v>33</v>
      </c>
      <c r="C31" s="53"/>
      <c r="D31" s="130">
        <v>21</v>
      </c>
      <c r="E31" s="81"/>
      <c r="F31" s="68"/>
      <c r="G31" s="68">
        <f>D31/$B$8</f>
        <v>4.2</v>
      </c>
      <c r="H31" s="103">
        <f t="shared" si="2"/>
        <v>2.8E-3</v>
      </c>
      <c r="I31" s="53">
        <f t="shared" si="5"/>
        <v>21</v>
      </c>
      <c r="J31" s="133"/>
    </row>
    <row r="32" spans="1:10" ht="13.15" customHeight="1" x14ac:dyDescent="0.25">
      <c r="A32" s="38" t="s">
        <v>14</v>
      </c>
      <c r="B32" s="125">
        <v>1</v>
      </c>
      <c r="C32" s="53"/>
      <c r="D32" s="127">
        <v>90.27</v>
      </c>
      <c r="E32" s="81"/>
      <c r="F32" s="68"/>
      <c r="G32" s="66">
        <f>B32*D32</f>
        <v>90.27</v>
      </c>
      <c r="H32" s="66">
        <f t="shared" si="2"/>
        <v>6.0179999999999997E-2</v>
      </c>
      <c r="I32" s="118">
        <f t="shared" si="5"/>
        <v>451.34999999999997</v>
      </c>
      <c r="J32" s="132"/>
    </row>
    <row r="33" spans="1:10" ht="13.15" customHeight="1" x14ac:dyDescent="0.25">
      <c r="A33" s="27" t="s">
        <v>18</v>
      </c>
      <c r="B33" s="167"/>
      <c r="C33" s="167"/>
      <c r="D33" s="168"/>
      <c r="E33" s="89"/>
      <c r="F33" s="68"/>
      <c r="G33" s="119">
        <f>SUM(G25:G32)</f>
        <v>750.74080000000004</v>
      </c>
      <c r="H33" s="119">
        <f>SUM(H25:H32)</f>
        <v>0.50049386666666673</v>
      </c>
      <c r="I33" s="120">
        <f>SUM(I25:I32)</f>
        <v>3753.7039999999997</v>
      </c>
      <c r="J33" s="10"/>
    </row>
    <row r="34" spans="1:10" ht="13.15" customHeight="1" x14ac:dyDescent="0.25">
      <c r="A34" s="22" t="s">
        <v>2</v>
      </c>
      <c r="B34" s="53"/>
      <c r="C34" s="53"/>
      <c r="D34" s="43"/>
      <c r="E34" s="85"/>
      <c r="F34" s="68"/>
      <c r="G34" s="53"/>
      <c r="H34" s="53"/>
      <c r="I34" s="53"/>
      <c r="J34" s="8"/>
    </row>
    <row r="35" spans="1:10" ht="13.15" customHeight="1" x14ac:dyDescent="0.25">
      <c r="A35" s="9" t="s">
        <v>48</v>
      </c>
      <c r="B35" s="114" t="s">
        <v>33</v>
      </c>
      <c r="C35" s="52"/>
      <c r="D35" s="130">
        <v>0</v>
      </c>
      <c r="E35" s="88"/>
      <c r="F35" s="73"/>
      <c r="G35" s="53">
        <f t="shared" ref="G35:G43" si="6">D35/$B$8</f>
        <v>0</v>
      </c>
      <c r="H35" s="53">
        <f t="shared" ref="H35:H43" si="7">G35/$B$5</f>
        <v>0</v>
      </c>
      <c r="I35" s="53">
        <f>G35*$B$8</f>
        <v>0</v>
      </c>
      <c r="J35" s="129"/>
    </row>
    <row r="36" spans="1:10" ht="13.15" customHeight="1" x14ac:dyDescent="0.25">
      <c r="A36" s="9" t="s">
        <v>49</v>
      </c>
      <c r="B36" s="114" t="s">
        <v>33</v>
      </c>
      <c r="C36" s="52"/>
      <c r="D36" s="130">
        <v>68</v>
      </c>
      <c r="E36" s="88"/>
      <c r="F36" s="73"/>
      <c r="G36" s="68">
        <f t="shared" si="6"/>
        <v>13.6</v>
      </c>
      <c r="H36" s="103">
        <f t="shared" si="7"/>
        <v>9.0666666666666656E-3</v>
      </c>
      <c r="I36" s="53">
        <f t="shared" ref="I36:I52" si="8">G36*$B$8</f>
        <v>68</v>
      </c>
      <c r="J36" s="133"/>
    </row>
    <row r="37" spans="1:10" ht="13.15" customHeight="1" x14ac:dyDescent="0.25">
      <c r="A37" s="9" t="s">
        <v>50</v>
      </c>
      <c r="B37" s="114" t="s">
        <v>33</v>
      </c>
      <c r="C37" s="52"/>
      <c r="D37" s="130">
        <v>21</v>
      </c>
      <c r="E37" s="88"/>
      <c r="F37" s="73"/>
      <c r="G37" s="68">
        <f t="shared" si="6"/>
        <v>4.2</v>
      </c>
      <c r="H37" s="103">
        <f t="shared" si="7"/>
        <v>2.8E-3</v>
      </c>
      <c r="I37" s="53">
        <f t="shared" si="8"/>
        <v>21</v>
      </c>
      <c r="J37" s="133"/>
    </row>
    <row r="38" spans="1:10" ht="13.15" customHeight="1" x14ac:dyDescent="0.25">
      <c r="A38" s="9" t="s">
        <v>51</v>
      </c>
      <c r="B38" s="114" t="s">
        <v>33</v>
      </c>
      <c r="C38" s="52"/>
      <c r="D38" s="130">
        <v>0</v>
      </c>
      <c r="E38" s="88"/>
      <c r="F38" s="73"/>
      <c r="G38" s="53">
        <f t="shared" si="6"/>
        <v>0</v>
      </c>
      <c r="H38" s="53">
        <f t="shared" si="7"/>
        <v>0</v>
      </c>
      <c r="I38" s="53">
        <f t="shared" si="8"/>
        <v>0</v>
      </c>
      <c r="J38" s="133"/>
    </row>
    <row r="39" spans="1:10" ht="13.15" customHeight="1" x14ac:dyDescent="0.25">
      <c r="A39" s="9" t="s">
        <v>52</v>
      </c>
      <c r="B39" s="114" t="s">
        <v>33</v>
      </c>
      <c r="C39" s="52"/>
      <c r="D39" s="130">
        <v>20</v>
      </c>
      <c r="E39" s="88"/>
      <c r="F39" s="73"/>
      <c r="G39" s="68">
        <f t="shared" si="6"/>
        <v>4</v>
      </c>
      <c r="H39" s="109">
        <f t="shared" si="7"/>
        <v>2.6666666666666666E-3</v>
      </c>
      <c r="I39" s="53">
        <f t="shared" si="8"/>
        <v>20</v>
      </c>
      <c r="J39" s="133"/>
    </row>
    <row r="40" spans="1:10" ht="13.15" customHeight="1" x14ac:dyDescent="0.25">
      <c r="A40" s="9" t="s">
        <v>107</v>
      </c>
      <c r="B40" s="114" t="s">
        <v>33</v>
      </c>
      <c r="C40" s="53"/>
      <c r="D40" s="130">
        <v>0</v>
      </c>
      <c r="E40" s="85"/>
      <c r="F40" s="68"/>
      <c r="G40" s="144">
        <f>D40/$B$8</f>
        <v>0</v>
      </c>
      <c r="H40" s="144">
        <f>G40/$B$5</f>
        <v>0</v>
      </c>
      <c r="I40" s="144">
        <f>G40*$B$8</f>
        <v>0</v>
      </c>
      <c r="J40" s="133"/>
    </row>
    <row r="41" spans="1:10" ht="13.15" customHeight="1" x14ac:dyDescent="0.25">
      <c r="A41" s="9" t="s">
        <v>53</v>
      </c>
      <c r="B41" s="114" t="s">
        <v>33</v>
      </c>
      <c r="C41" s="52"/>
      <c r="D41" s="130">
        <v>189</v>
      </c>
      <c r="E41" s="88"/>
      <c r="F41" s="73"/>
      <c r="G41" s="68">
        <f t="shared" si="6"/>
        <v>37.799999999999997</v>
      </c>
      <c r="H41" s="68">
        <f t="shared" si="7"/>
        <v>2.5199999999999997E-2</v>
      </c>
      <c r="I41" s="53">
        <f t="shared" si="8"/>
        <v>189</v>
      </c>
      <c r="J41" s="133"/>
    </row>
    <row r="42" spans="1:10" ht="13.15" customHeight="1" x14ac:dyDescent="0.25">
      <c r="A42" s="9" t="s">
        <v>54</v>
      </c>
      <c r="B42" s="114" t="s">
        <v>33</v>
      </c>
      <c r="C42" s="52"/>
      <c r="D42" s="130">
        <v>12</v>
      </c>
      <c r="E42" s="88"/>
      <c r="F42" s="73"/>
      <c r="G42" s="68">
        <f t="shared" si="6"/>
        <v>2.4</v>
      </c>
      <c r="H42" s="103">
        <f t="shared" si="7"/>
        <v>1.5999999999999999E-3</v>
      </c>
      <c r="I42" s="53">
        <f t="shared" si="8"/>
        <v>12</v>
      </c>
      <c r="J42" s="133"/>
    </row>
    <row r="43" spans="1:10" ht="13.15" customHeight="1" x14ac:dyDescent="0.25">
      <c r="A43" s="9" t="s">
        <v>98</v>
      </c>
      <c r="B43" s="114" t="s">
        <v>33</v>
      </c>
      <c r="C43" s="52"/>
      <c r="D43" s="130">
        <v>0</v>
      </c>
      <c r="E43" s="88"/>
      <c r="F43" s="73"/>
      <c r="G43" s="53">
        <f t="shared" si="6"/>
        <v>0</v>
      </c>
      <c r="H43" s="53">
        <f t="shared" si="7"/>
        <v>0</v>
      </c>
      <c r="I43" s="53">
        <f t="shared" ref="I43" si="9">G43*$B$8</f>
        <v>0</v>
      </c>
      <c r="J43" s="133"/>
    </row>
    <row r="44" spans="1:10" ht="13.15" customHeight="1" x14ac:dyDescent="0.25">
      <c r="A44" s="9" t="s">
        <v>55</v>
      </c>
      <c r="B44" s="114" t="s">
        <v>33</v>
      </c>
      <c r="C44" s="52"/>
      <c r="D44" s="130">
        <v>0</v>
      </c>
      <c r="E44" s="88"/>
      <c r="F44" s="73"/>
      <c r="G44" s="53">
        <f t="shared" ref="G44:G45" si="10">D44/$B$8</f>
        <v>0</v>
      </c>
      <c r="H44" s="53">
        <f t="shared" ref="H44:H46" si="11">G44/$B$5</f>
        <v>0</v>
      </c>
      <c r="I44" s="53">
        <f t="shared" si="8"/>
        <v>0</v>
      </c>
      <c r="J44" s="133"/>
    </row>
    <row r="45" spans="1:10" ht="13.15" customHeight="1" x14ac:dyDescent="0.25">
      <c r="A45" s="9" t="s">
        <v>56</v>
      </c>
      <c r="B45" s="114" t="s">
        <v>33</v>
      </c>
      <c r="C45" s="52"/>
      <c r="D45" s="130">
        <v>106</v>
      </c>
      <c r="E45" s="88"/>
      <c r="F45" s="73"/>
      <c r="G45" s="68">
        <f t="shared" si="10"/>
        <v>21.2</v>
      </c>
      <c r="H45" s="68">
        <f t="shared" si="11"/>
        <v>1.4133333333333333E-2</v>
      </c>
      <c r="I45" s="53">
        <f t="shared" si="8"/>
        <v>106</v>
      </c>
      <c r="J45" s="133"/>
    </row>
    <row r="46" spans="1:10" ht="13.15" customHeight="1" x14ac:dyDescent="0.25">
      <c r="A46" s="9" t="s">
        <v>57</v>
      </c>
      <c r="B46" s="114" t="s">
        <v>33</v>
      </c>
      <c r="C46" s="52"/>
      <c r="D46" s="130">
        <v>500</v>
      </c>
      <c r="E46" s="88"/>
      <c r="F46" s="73"/>
      <c r="G46" s="68">
        <f t="shared" ref="G46" si="12">D46/$B$8</f>
        <v>100</v>
      </c>
      <c r="H46" s="68">
        <f t="shared" si="11"/>
        <v>6.6666666666666666E-2</v>
      </c>
      <c r="I46" s="53">
        <f t="shared" si="8"/>
        <v>500</v>
      </c>
      <c r="J46" s="133"/>
    </row>
    <row r="47" spans="1:10" ht="13.15" customHeight="1" x14ac:dyDescent="0.25">
      <c r="A47" s="9" t="s">
        <v>96</v>
      </c>
      <c r="B47" s="114">
        <f>$B$5</f>
        <v>1500</v>
      </c>
      <c r="C47" s="52"/>
      <c r="D47" s="143">
        <v>7.4999999999999997E-3</v>
      </c>
      <c r="E47" s="88"/>
      <c r="F47" s="73"/>
      <c r="G47" s="68">
        <f>B47*D47</f>
        <v>11.25</v>
      </c>
      <c r="H47" s="103">
        <f>G47/$B$5</f>
        <v>7.4999999999999997E-3</v>
      </c>
      <c r="I47" s="53">
        <f>G47*$B$8</f>
        <v>56.25</v>
      </c>
      <c r="J47" s="133"/>
    </row>
    <row r="48" spans="1:10" ht="13.15" customHeight="1" x14ac:dyDescent="0.25">
      <c r="A48" s="9" t="s">
        <v>97</v>
      </c>
      <c r="B48" s="114">
        <f>$B$5</f>
        <v>1500</v>
      </c>
      <c r="C48" s="52"/>
      <c r="D48" s="130">
        <v>0</v>
      </c>
      <c r="E48" s="88"/>
      <c r="F48" s="73"/>
      <c r="G48" s="53">
        <f>B48*D48</f>
        <v>0</v>
      </c>
      <c r="H48" s="53">
        <f>G48/$B$5</f>
        <v>0</v>
      </c>
      <c r="I48" s="53">
        <f>G48*$B$8</f>
        <v>0</v>
      </c>
      <c r="J48" s="133"/>
    </row>
    <row r="49" spans="1:10" ht="13.15" customHeight="1" x14ac:dyDescent="0.25">
      <c r="A49" s="9" t="s">
        <v>108</v>
      </c>
      <c r="B49" s="114" t="s">
        <v>33</v>
      </c>
      <c r="C49" s="53"/>
      <c r="D49" s="130">
        <v>0</v>
      </c>
      <c r="E49" s="85"/>
      <c r="F49" s="68"/>
      <c r="G49" s="144">
        <f>D49/$B$8</f>
        <v>0</v>
      </c>
      <c r="H49" s="144">
        <f>G49/$B$5</f>
        <v>0</v>
      </c>
      <c r="I49" s="144">
        <f t="shared" ref="I49" si="13">G49*$B$8</f>
        <v>0</v>
      </c>
      <c r="J49" s="133"/>
    </row>
    <row r="50" spans="1:10" ht="13.15" customHeight="1" x14ac:dyDescent="0.25">
      <c r="A50" s="9" t="s">
        <v>59</v>
      </c>
      <c r="B50" s="114" t="s">
        <v>33</v>
      </c>
      <c r="C50" s="52"/>
      <c r="D50" s="130">
        <v>0</v>
      </c>
      <c r="E50" s="88"/>
      <c r="F50" s="73"/>
      <c r="G50" s="53">
        <f>D50/$B$8</f>
        <v>0</v>
      </c>
      <c r="H50" s="53">
        <f>G50/$B$5</f>
        <v>0</v>
      </c>
      <c r="I50" s="53">
        <f>G50*$B$8</f>
        <v>0</v>
      </c>
      <c r="J50" s="133"/>
    </row>
    <row r="51" spans="1:10" ht="13.15" customHeight="1" x14ac:dyDescent="0.25">
      <c r="A51" s="9" t="s">
        <v>58</v>
      </c>
      <c r="B51" s="114" t="s">
        <v>33</v>
      </c>
      <c r="C51" s="52"/>
      <c r="D51" s="130">
        <v>128</v>
      </c>
      <c r="E51" s="88"/>
      <c r="F51" s="73"/>
      <c r="G51" s="68">
        <f>D51/$B$8</f>
        <v>25.6</v>
      </c>
      <c r="H51" s="68">
        <f>G51/$B$5</f>
        <v>1.7066666666666667E-2</v>
      </c>
      <c r="I51" s="53">
        <f t="shared" si="8"/>
        <v>128</v>
      </c>
      <c r="J51" s="133"/>
    </row>
    <row r="52" spans="1:10" ht="13.15" customHeight="1" x14ac:dyDescent="0.25">
      <c r="A52" s="9" t="s">
        <v>60</v>
      </c>
      <c r="B52" s="114" t="s">
        <v>33</v>
      </c>
      <c r="C52" s="52"/>
      <c r="D52" s="130">
        <v>600</v>
      </c>
      <c r="E52" s="88"/>
      <c r="F52" s="73"/>
      <c r="G52" s="108">
        <f t="shared" ref="G52" si="14">D52/$B$8</f>
        <v>120</v>
      </c>
      <c r="H52" s="108">
        <f t="shared" ref="H52" si="15">G52/$B$5</f>
        <v>0.08</v>
      </c>
      <c r="I52" s="53">
        <f t="shared" si="8"/>
        <v>600</v>
      </c>
      <c r="J52" s="133"/>
    </row>
    <row r="53" spans="1:10" ht="13.15" customHeight="1" x14ac:dyDescent="0.25">
      <c r="A53" s="145" t="s">
        <v>103</v>
      </c>
      <c r="B53" s="125">
        <v>0</v>
      </c>
      <c r="C53" s="52"/>
      <c r="D53" s="127">
        <v>0</v>
      </c>
      <c r="E53" s="88"/>
      <c r="F53" s="106" t="s">
        <v>29</v>
      </c>
      <c r="G53" s="66">
        <f>(B53*D53)/$B$8</f>
        <v>0</v>
      </c>
      <c r="H53" s="147">
        <f>G53/$B$5</f>
        <v>0</v>
      </c>
      <c r="I53" s="118">
        <f>G53*$B$8</f>
        <v>0</v>
      </c>
      <c r="J53" s="132"/>
    </row>
    <row r="54" spans="1:10" ht="13.15" customHeight="1" x14ac:dyDescent="0.25">
      <c r="A54" s="146" t="s">
        <v>18</v>
      </c>
      <c r="B54" s="167"/>
      <c r="C54" s="167"/>
      <c r="D54" s="168"/>
      <c r="E54" s="89"/>
      <c r="F54" s="68"/>
      <c r="G54" s="119">
        <f>SUM(G35:G53)</f>
        <v>340.04999999999995</v>
      </c>
      <c r="H54" s="119">
        <f>SUM(H35:H53)</f>
        <v>0.22670000000000001</v>
      </c>
      <c r="I54" s="120">
        <f>SUM(I35:I53)</f>
        <v>1700.25</v>
      </c>
      <c r="J54" s="8"/>
    </row>
    <row r="55" spans="1:10" ht="13.15" customHeight="1" thickBot="1" x14ac:dyDescent="0.3">
      <c r="A55" s="40" t="s">
        <v>3</v>
      </c>
      <c r="B55" s="54"/>
      <c r="C55" s="54"/>
      <c r="D55" s="55"/>
      <c r="E55" s="90"/>
      <c r="F55" s="55"/>
      <c r="G55" s="56">
        <f>G22+G33+G54</f>
        <v>1897.7908</v>
      </c>
      <c r="H55" s="56">
        <f>H22+H33+H54</f>
        <v>1.2651938666666669</v>
      </c>
      <c r="I55" s="54">
        <f>I22+I33+I54</f>
        <v>9488.9539999999997</v>
      </c>
      <c r="J55" s="25"/>
    </row>
    <row r="56" spans="1:10" ht="13.15" customHeight="1" thickBot="1" x14ac:dyDescent="0.3">
      <c r="A56" s="23" t="s">
        <v>12</v>
      </c>
      <c r="B56" s="55"/>
      <c r="C56" s="55"/>
      <c r="D56" s="55"/>
      <c r="E56" s="90"/>
      <c r="F56" s="55"/>
      <c r="G56" s="55"/>
      <c r="H56" s="55"/>
      <c r="I56" s="55"/>
      <c r="J56" s="55"/>
    </row>
    <row r="57" spans="1:10" ht="13.15" customHeight="1" x14ac:dyDescent="0.25">
      <c r="A57" s="9" t="s">
        <v>22</v>
      </c>
      <c r="B57" s="125">
        <v>1</v>
      </c>
      <c r="C57" s="53"/>
      <c r="D57" s="127">
        <v>713.53</v>
      </c>
      <c r="E57" s="81"/>
      <c r="F57" s="43"/>
      <c r="G57" s="68">
        <f>B57*D57</f>
        <v>713.53</v>
      </c>
      <c r="H57" s="82">
        <f>G57/$B$5</f>
        <v>0.47568666666666665</v>
      </c>
      <c r="I57" s="117">
        <f>G57*$B$8</f>
        <v>3567.6499999999996</v>
      </c>
      <c r="J57" s="135"/>
    </row>
    <row r="58" spans="1:10" ht="13.15" customHeight="1" x14ac:dyDescent="0.25">
      <c r="A58" s="9" t="s">
        <v>23</v>
      </c>
      <c r="B58" s="125">
        <v>1</v>
      </c>
      <c r="C58" s="53"/>
      <c r="D58" s="127">
        <v>485.78</v>
      </c>
      <c r="E58" s="81"/>
      <c r="F58" s="43"/>
      <c r="G58" s="66">
        <f>B58*D58</f>
        <v>485.78</v>
      </c>
      <c r="H58" s="66">
        <f>G58/$B$5</f>
        <v>0.32385333333333333</v>
      </c>
      <c r="I58" s="118">
        <f>G58*$B$8</f>
        <v>2428.8999999999996</v>
      </c>
      <c r="J58" s="134"/>
    </row>
    <row r="59" spans="1:10" ht="13.15" customHeight="1" x14ac:dyDescent="0.25">
      <c r="A59" s="7" t="s">
        <v>13</v>
      </c>
      <c r="B59" s="47"/>
      <c r="C59" s="47"/>
      <c r="D59" s="43"/>
      <c r="E59" s="85"/>
      <c r="F59" s="43"/>
      <c r="G59" s="48">
        <f>SUM(G57:G58)</f>
        <v>1199.31</v>
      </c>
      <c r="H59" s="48">
        <f>SUM(H57:H58)</f>
        <v>0.79953999999999992</v>
      </c>
      <c r="I59" s="47">
        <f>SUM(I57:I58)</f>
        <v>5996.5499999999993</v>
      </c>
      <c r="J59" s="8"/>
    </row>
    <row r="60" spans="1:10" ht="7.9" customHeight="1" thickBot="1" x14ac:dyDescent="0.3">
      <c r="A60" s="6"/>
      <c r="B60" s="43"/>
      <c r="C60" s="43"/>
      <c r="D60" s="43"/>
      <c r="E60" s="85"/>
      <c r="F60" s="43"/>
      <c r="G60" s="43"/>
      <c r="H60" s="43"/>
      <c r="I60" s="43"/>
      <c r="J60" s="25"/>
    </row>
    <row r="61" spans="1:10" ht="13.15" customHeight="1" thickBot="1" x14ac:dyDescent="0.3">
      <c r="A61" s="19" t="s">
        <v>24</v>
      </c>
      <c r="B61" s="57"/>
      <c r="C61" s="57"/>
      <c r="D61" s="58"/>
      <c r="E61" s="91"/>
      <c r="F61" s="58"/>
      <c r="G61" s="59">
        <f>G55+G59</f>
        <v>3097.1008000000002</v>
      </c>
      <c r="H61" s="59">
        <f>H55+H59</f>
        <v>2.0647338666666668</v>
      </c>
      <c r="I61" s="57">
        <f>I55+I59</f>
        <v>15485.503999999999</v>
      </c>
      <c r="J61" s="25"/>
    </row>
    <row r="62" spans="1:10" ht="6" customHeight="1" x14ac:dyDescent="0.25">
      <c r="A62" s="41"/>
      <c r="B62" s="60"/>
      <c r="C62" s="60"/>
      <c r="D62" s="61"/>
      <c r="E62" s="92"/>
      <c r="F62" s="62"/>
      <c r="G62" s="60"/>
      <c r="H62" s="60"/>
      <c r="I62" s="60"/>
      <c r="J62" s="8"/>
    </row>
    <row r="63" spans="1:10" ht="30" customHeight="1" x14ac:dyDescent="0.25">
      <c r="A63" s="42"/>
      <c r="B63" s="43"/>
      <c r="C63" s="43"/>
      <c r="D63" s="64" t="s">
        <v>10</v>
      </c>
      <c r="E63" s="93"/>
      <c r="F63" s="64" t="s">
        <v>30</v>
      </c>
      <c r="G63" s="139" t="s">
        <v>92</v>
      </c>
      <c r="H63" s="139" t="s">
        <v>93</v>
      </c>
      <c r="I63" s="76" t="s">
        <v>94</v>
      </c>
      <c r="J63" s="139" t="s">
        <v>118</v>
      </c>
    </row>
    <row r="64" spans="1:10" ht="13.15" customHeight="1" x14ac:dyDescent="0.25">
      <c r="A64" s="7" t="s">
        <v>4</v>
      </c>
      <c r="B64" s="47"/>
      <c r="C64" s="47"/>
      <c r="D64" s="101">
        <f>G7</f>
        <v>1830</v>
      </c>
      <c r="E64" s="85" t="s">
        <v>33</v>
      </c>
      <c r="F64" s="101">
        <f>G55+G59</f>
        <v>3097.1008000000002</v>
      </c>
      <c r="G64" s="137">
        <f>D64-F64</f>
        <v>-1267.1008000000002</v>
      </c>
      <c r="H64" s="137">
        <f>G64/$B$5</f>
        <v>-0.84473386666666672</v>
      </c>
      <c r="I64" s="140">
        <f>I7-I61</f>
        <v>-6335.503999999999</v>
      </c>
      <c r="J64" s="137">
        <f>(G64*$B$8)/($B$71+$D$71)</f>
        <v>-18.111789594053747</v>
      </c>
    </row>
    <row r="65" spans="1:10" ht="13.15" customHeight="1" thickBot="1" x14ac:dyDescent="0.3">
      <c r="A65" s="23" t="s">
        <v>5</v>
      </c>
      <c r="B65" s="54"/>
      <c r="C65" s="54"/>
      <c r="D65" s="102">
        <f>G7</f>
        <v>1830</v>
      </c>
      <c r="E65" s="90" t="s">
        <v>33</v>
      </c>
      <c r="F65" s="102">
        <f>G55</f>
        <v>1897.7908</v>
      </c>
      <c r="G65" s="138">
        <f>D65-F65</f>
        <v>-67.79079999999999</v>
      </c>
      <c r="H65" s="138">
        <f>G65/$B$5</f>
        <v>-4.5193866666666659E-2</v>
      </c>
      <c r="I65" s="141">
        <f>I7-I55</f>
        <v>-338.95399999999972</v>
      </c>
      <c r="J65" s="138">
        <f>(G65*$B$8)/($B$71+$D$71)</f>
        <v>-0.96899371069182372</v>
      </c>
    </row>
    <row r="66" spans="1:10" ht="7.9" customHeight="1" thickBot="1" x14ac:dyDescent="0.3">
      <c r="A66" s="24"/>
      <c r="B66" s="63"/>
      <c r="C66" s="63"/>
      <c r="D66" s="63"/>
      <c r="E66" s="94"/>
      <c r="F66" s="63"/>
      <c r="G66" s="63"/>
      <c r="H66" s="63"/>
      <c r="I66" s="63"/>
      <c r="J66" s="26"/>
    </row>
    <row r="67" spans="1:10" ht="13.9" customHeight="1" thickTop="1" x14ac:dyDescent="0.25">
      <c r="A67" s="7" t="s">
        <v>62</v>
      </c>
      <c r="B67" s="43"/>
      <c r="C67" s="43"/>
      <c r="D67" s="43"/>
      <c r="E67" s="85"/>
      <c r="G67" s="112" t="s">
        <v>90</v>
      </c>
      <c r="H67" s="112" t="s">
        <v>61</v>
      </c>
      <c r="I67" s="112" t="s">
        <v>11</v>
      </c>
      <c r="J67" s="8"/>
    </row>
    <row r="68" spans="1:10" ht="13.15" customHeight="1" x14ac:dyDescent="0.25">
      <c r="A68" s="9" t="s">
        <v>25</v>
      </c>
      <c r="B68" s="64"/>
      <c r="C68" s="64"/>
      <c r="D68" s="43"/>
      <c r="E68" s="85"/>
      <c r="G68" s="68">
        <f>G61</f>
        <v>3097.1008000000002</v>
      </c>
      <c r="H68" s="68">
        <f>G68/$B$5</f>
        <v>2.0647338666666668</v>
      </c>
      <c r="I68" s="53">
        <f>I61</f>
        <v>15485.503999999999</v>
      </c>
      <c r="J68" s="129"/>
    </row>
    <row r="69" spans="1:10" ht="13.15" customHeight="1" x14ac:dyDescent="0.25">
      <c r="A69" s="9" t="s">
        <v>26</v>
      </c>
      <c r="B69" s="64"/>
      <c r="C69" s="64"/>
      <c r="D69" s="43"/>
      <c r="E69" s="85"/>
      <c r="G69" s="68">
        <f>G55</f>
        <v>1897.7908</v>
      </c>
      <c r="H69" s="68">
        <f>G69/$B$5</f>
        <v>1.2651938666666667</v>
      </c>
      <c r="I69" s="53">
        <f>I55</f>
        <v>9488.9539999999997</v>
      </c>
      <c r="J69" s="133"/>
    </row>
    <row r="70" spans="1:10" ht="13.15" customHeight="1" x14ac:dyDescent="0.25">
      <c r="A70" s="150" t="s">
        <v>114</v>
      </c>
      <c r="B70" s="152" t="s">
        <v>115</v>
      </c>
      <c r="C70" s="153"/>
      <c r="D70" s="152" t="s">
        <v>116</v>
      </c>
      <c r="E70" s="95"/>
      <c r="F70" s="18"/>
      <c r="G70" s="18"/>
      <c r="H70" s="18"/>
      <c r="I70" s="18"/>
      <c r="J70" s="8"/>
    </row>
    <row r="71" spans="1:10" x14ac:dyDescent="0.25">
      <c r="A71" s="154" t="s">
        <v>117</v>
      </c>
      <c r="B71" s="155">
        <v>233.5</v>
      </c>
      <c r="C71" s="6"/>
      <c r="D71" s="155">
        <f>(60+56.3)</f>
        <v>116.3</v>
      </c>
      <c r="G71" s="31"/>
      <c r="H71" s="31" t="s">
        <v>15</v>
      </c>
      <c r="I71" s="31"/>
      <c r="J71" s="12"/>
    </row>
    <row r="72" spans="1:10" ht="7.9" customHeight="1" x14ac:dyDescent="0.25">
      <c r="A72" s="6"/>
      <c r="B72" s="6"/>
      <c r="C72" s="6"/>
      <c r="D72" s="6"/>
      <c r="E72" s="97"/>
      <c r="F72" s="6"/>
      <c r="G72" s="6"/>
      <c r="H72" s="6"/>
      <c r="I72" s="6"/>
      <c r="J72" s="6"/>
    </row>
    <row r="73" spans="1:10" ht="18.75" x14ac:dyDescent="0.3">
      <c r="A73" s="13" t="s">
        <v>17</v>
      </c>
      <c r="B73" s="6"/>
      <c r="C73" s="6"/>
      <c r="D73" s="6"/>
      <c r="E73" s="97"/>
      <c r="F73" s="6"/>
      <c r="G73" s="6"/>
      <c r="H73" s="6"/>
      <c r="I73" s="6"/>
      <c r="J73" s="11"/>
    </row>
    <row r="74" spans="1:10" ht="9.75" customHeight="1" x14ac:dyDescent="0.3">
      <c r="A74" s="13"/>
      <c r="B74" s="6"/>
      <c r="C74" s="6"/>
      <c r="D74" s="6"/>
      <c r="E74" s="97"/>
      <c r="F74" s="6"/>
      <c r="G74" s="6"/>
      <c r="H74" s="6"/>
      <c r="I74" s="6"/>
      <c r="J74" s="11"/>
    </row>
    <row r="75" spans="1:10" x14ac:dyDescent="0.25">
      <c r="A75" s="14" t="s">
        <v>20</v>
      </c>
      <c r="B75" s="6"/>
      <c r="C75" s="6"/>
      <c r="D75" s="6"/>
      <c r="E75" s="97"/>
      <c r="F75" s="6"/>
      <c r="G75" s="6"/>
      <c r="H75" s="6"/>
      <c r="I75" s="6"/>
      <c r="J75" s="11"/>
    </row>
    <row r="76" spans="1:10" ht="46.9" customHeight="1" x14ac:dyDescent="0.25">
      <c r="A76" s="162" t="s">
        <v>67</v>
      </c>
      <c r="B76" s="163"/>
      <c r="C76" s="163"/>
      <c r="D76" s="163"/>
      <c r="E76" s="163"/>
      <c r="F76" s="163"/>
      <c r="G76" s="163"/>
      <c r="H76" s="163"/>
      <c r="I76" s="163"/>
      <c r="J76" s="163"/>
    </row>
    <row r="77" spans="1:10" ht="57.75" customHeight="1" x14ac:dyDescent="0.25">
      <c r="A77" s="164" t="s">
        <v>68</v>
      </c>
      <c r="B77" s="161"/>
      <c r="C77" s="161"/>
      <c r="D77" s="161"/>
      <c r="E77" s="161"/>
      <c r="F77" s="161"/>
      <c r="G77" s="161"/>
      <c r="H77" s="161"/>
      <c r="I77" s="161"/>
      <c r="J77" s="161"/>
    </row>
    <row r="78" spans="1:10" s="1" customFormat="1" ht="19.899999999999999" customHeight="1" x14ac:dyDescent="0.25">
      <c r="A78" s="33" t="s">
        <v>19</v>
      </c>
      <c r="B78" s="6"/>
      <c r="C78" s="6"/>
      <c r="D78" s="6"/>
      <c r="E78" s="97"/>
      <c r="F78" s="6"/>
      <c r="G78" s="6"/>
      <c r="H78" s="6"/>
      <c r="I78" s="6"/>
      <c r="J78" s="11"/>
    </row>
    <row r="79" spans="1:10" ht="16.899999999999999" customHeight="1" x14ac:dyDescent="0.25">
      <c r="A79" s="159" t="s">
        <v>69</v>
      </c>
      <c r="B79" s="160"/>
      <c r="C79" s="160"/>
      <c r="D79" s="160"/>
      <c r="E79" s="160"/>
      <c r="F79" s="160"/>
      <c r="G79" s="160"/>
      <c r="H79" s="160"/>
      <c r="I79" s="160"/>
      <c r="J79" s="160"/>
    </row>
    <row r="80" spans="1:10" ht="16.149999999999999" customHeight="1" x14ac:dyDescent="0.25">
      <c r="A80" s="159" t="s">
        <v>63</v>
      </c>
      <c r="B80" s="160"/>
      <c r="C80" s="160"/>
      <c r="D80" s="160"/>
      <c r="E80" s="160"/>
      <c r="F80" s="160"/>
      <c r="G80" s="160"/>
      <c r="H80" s="160"/>
      <c r="I80" s="160"/>
      <c r="J80" s="160"/>
    </row>
    <row r="81" spans="1:10" ht="15" customHeight="1" x14ac:dyDescent="0.25">
      <c r="A81" s="165" t="s">
        <v>120</v>
      </c>
      <c r="B81" s="166"/>
      <c r="C81" s="166"/>
      <c r="D81" s="166"/>
      <c r="E81" s="166"/>
      <c r="F81" s="166"/>
      <c r="G81" s="166"/>
      <c r="H81" s="166"/>
      <c r="I81" s="166"/>
      <c r="J81" s="166"/>
    </row>
    <row r="82" spans="1:10" ht="13.9" customHeight="1" x14ac:dyDescent="0.25">
      <c r="A82" s="45" t="s">
        <v>64</v>
      </c>
      <c r="B82" s="6"/>
      <c r="C82" s="6"/>
      <c r="D82" s="6"/>
      <c r="E82" s="97"/>
      <c r="F82" s="6"/>
      <c r="G82" s="121" t="s">
        <v>84</v>
      </c>
      <c r="H82" s="157">
        <f>I32</f>
        <v>451.34999999999997</v>
      </c>
      <c r="I82" s="45" t="s">
        <v>104</v>
      </c>
      <c r="J82" s="11"/>
    </row>
    <row r="83" spans="1:10" ht="13.5" customHeight="1" x14ac:dyDescent="0.25">
      <c r="A83" s="71"/>
      <c r="B83" s="72"/>
      <c r="C83" s="78"/>
      <c r="D83" s="72"/>
      <c r="E83" s="98"/>
      <c r="F83" s="72"/>
      <c r="G83" s="121" t="s">
        <v>113</v>
      </c>
      <c r="H83" s="157">
        <f>I31</f>
        <v>21</v>
      </c>
      <c r="I83" s="45" t="s">
        <v>104</v>
      </c>
      <c r="J83" s="72"/>
    </row>
    <row r="84" spans="1:10" ht="15" customHeight="1" x14ac:dyDescent="0.25">
      <c r="A84" s="159" t="s">
        <v>70</v>
      </c>
      <c r="B84" s="160"/>
      <c r="C84" s="160"/>
      <c r="D84" s="160"/>
      <c r="E84" s="160"/>
      <c r="F84" s="160"/>
      <c r="G84" s="160"/>
      <c r="J84" s="72"/>
    </row>
    <row r="85" spans="1:10" s="70" customFormat="1" ht="39" customHeight="1" x14ac:dyDescent="0.25">
      <c r="A85" s="32" t="s">
        <v>7</v>
      </c>
      <c r="B85" s="65" t="str">
        <f>CONCATENATE("Cost/acre for Labor @ $",D26,"/hour")</f>
        <v>Cost/acre for Labor @ $16.63/hour</v>
      </c>
      <c r="C85" s="65"/>
      <c r="D85" s="65" t="str">
        <f>CONCATENATE("Cost/acre for Diesel Fuel @ $",D30,"/gallon &amp; Oil")</f>
        <v>Cost/acre for Diesel Fuel @ $4.82/gallon &amp; Oil</v>
      </c>
      <c r="E85" s="99"/>
      <c r="F85" s="65" t="s">
        <v>82</v>
      </c>
      <c r="G85" s="65" t="s">
        <v>83</v>
      </c>
      <c r="H85" s="65" t="s">
        <v>87</v>
      </c>
      <c r="I85" s="122" t="s">
        <v>8</v>
      </c>
      <c r="J85" s="36" t="s">
        <v>39</v>
      </c>
    </row>
    <row r="86" spans="1:10" ht="12.75" customHeight="1" x14ac:dyDescent="0.25">
      <c r="A86" s="115" t="s">
        <v>73</v>
      </c>
      <c r="B86" s="68"/>
      <c r="C86" s="68"/>
      <c r="D86" s="68"/>
      <c r="E86" s="81"/>
      <c r="F86" s="68"/>
      <c r="G86" s="68"/>
      <c r="H86" s="68"/>
      <c r="I86" s="68"/>
      <c r="J86" s="8"/>
    </row>
    <row r="87" spans="1:10" ht="12.75" customHeight="1" x14ac:dyDescent="0.25">
      <c r="A87" s="15" t="s">
        <v>75</v>
      </c>
      <c r="B87" s="81">
        <f>IF(B19=0,0,((1+2.5+1+1)/5)*$D$29)</f>
        <v>18.292999999999999</v>
      </c>
      <c r="C87" s="68"/>
      <c r="D87" s="81">
        <f>IF(B19=0,0,(((0.9+1.69+0.9+0.9)/5)*$D$30)+(($H$83*(G87/$G$98))/$B$8))</f>
        <v>5.5655278043511558</v>
      </c>
      <c r="E87" s="81"/>
      <c r="F87" s="81">
        <f>IF(B19=0,0,($H$82*(G87/$G$98))/$B$8)</f>
        <v>28.662182309233042</v>
      </c>
      <c r="G87" s="81">
        <f>IF(B19=0,0,(131.5+2.95+1.08+5.36+2.45+(4*0.9575)+18.04))</f>
        <v>165.21</v>
      </c>
      <c r="H87" s="68">
        <f>IF(B19=0,0,261.67*(G19/261.67))</f>
        <v>262</v>
      </c>
      <c r="I87" s="48">
        <f>SUM(B87:H87)</f>
        <v>479.73071011358422</v>
      </c>
      <c r="J87" s="129"/>
    </row>
    <row r="88" spans="1:10" ht="12.75" customHeight="1" x14ac:dyDescent="0.25">
      <c r="A88" s="15" t="s">
        <v>76</v>
      </c>
      <c r="B88" s="81">
        <f>IF(B16=0,0,((0.2+7.153+0.2+0.2)/5)*$D$29)</f>
        <v>0</v>
      </c>
      <c r="C88" s="68"/>
      <c r="D88" s="81">
        <f>IF(B16=0,0,(((1+16.7+1+1)/5)*$D$30)+(($H$83*(G88/$G$98))/$B$8))</f>
        <v>0</v>
      </c>
      <c r="E88" s="81"/>
      <c r="F88" s="81">
        <f>IF(B16=0,0,($H$82*(G88/$G$98))/$B$8)</f>
        <v>0</v>
      </c>
      <c r="G88" s="81">
        <f>IF(B16=0,0,(0+0))</f>
        <v>0</v>
      </c>
      <c r="H88" s="68">
        <f>IF(B16=0,0,40.68*(G16/40.68))</f>
        <v>0</v>
      </c>
      <c r="I88" s="48">
        <f t="shared" ref="I88:I97" si="16">SUM(B88:H88)</f>
        <v>0</v>
      </c>
      <c r="J88" s="129"/>
    </row>
    <row r="89" spans="1:10" ht="12.75" customHeight="1" x14ac:dyDescent="0.25">
      <c r="A89" s="15" t="s">
        <v>99</v>
      </c>
      <c r="B89" s="81">
        <f>((1+16.67)/15)*$D$29</f>
        <v>19.590140000000002</v>
      </c>
      <c r="C89" s="68"/>
      <c r="D89" s="81">
        <f>(((0.7+0+0)/5)*$D$30)+(($H$83*(G89/$G$98))/$B$8)</f>
        <v>0.82849003689150769</v>
      </c>
      <c r="E89" s="81"/>
      <c r="F89" s="81">
        <f>($H$82*(G89/$G$98))/$B$8</f>
        <v>3.3032380071896199</v>
      </c>
      <c r="G89" s="81">
        <f>(5.82+3.22+5.84+4+0.16)</f>
        <v>19.040000000000003</v>
      </c>
      <c r="H89" s="53">
        <f>0</f>
        <v>0</v>
      </c>
      <c r="I89" s="48">
        <f t="shared" si="16"/>
        <v>42.761868044081133</v>
      </c>
      <c r="J89" s="129"/>
    </row>
    <row r="90" spans="1:10" ht="12.75" customHeight="1" x14ac:dyDescent="0.25">
      <c r="A90" s="115" t="s">
        <v>74</v>
      </c>
      <c r="B90" s="68"/>
      <c r="C90" s="68"/>
      <c r="D90" s="68"/>
      <c r="E90" s="81"/>
      <c r="F90" s="68"/>
      <c r="G90" s="68"/>
      <c r="H90" s="68"/>
      <c r="I90" s="68"/>
      <c r="J90" s="8"/>
    </row>
    <row r="91" spans="1:10" ht="12.75" customHeight="1" x14ac:dyDescent="0.25">
      <c r="A91" s="15" t="s">
        <v>100</v>
      </c>
      <c r="B91" s="81">
        <f>IF(B14=0,0,(5/5)*$D$29)</f>
        <v>0</v>
      </c>
      <c r="C91" s="68"/>
      <c r="D91" s="88">
        <f>IF(B14=0,0,(((0+0+0+0)/5)*$D$30)+(($H$83*(G91/$G$98))/$B$8))</f>
        <v>0</v>
      </c>
      <c r="E91" s="81"/>
      <c r="F91" s="158">
        <f>IF(B14=0,0,($H$82*(G91/$G$98))/$B$8)</f>
        <v>0</v>
      </c>
      <c r="G91" s="88">
        <v>0</v>
      </c>
      <c r="H91" s="53">
        <f>0</f>
        <v>0</v>
      </c>
      <c r="I91" s="62">
        <f t="shared" si="16"/>
        <v>0</v>
      </c>
      <c r="J91" s="129"/>
    </row>
    <row r="92" spans="1:10" ht="12.75" customHeight="1" x14ac:dyDescent="0.25">
      <c r="A92" s="15" t="s">
        <v>77</v>
      </c>
      <c r="B92" s="81">
        <f>IF(B15=0,0,(3.6666667/5)*$D$29)</f>
        <v>0</v>
      </c>
      <c r="C92" s="68"/>
      <c r="D92" s="81">
        <f>IF(B15=0,0,((1.3/5)*$D$30)+(($H$83*(G92/$G$98))/$B$8))</f>
        <v>0</v>
      </c>
      <c r="E92" s="81"/>
      <c r="F92" s="123">
        <f>IF(B15=0,0,($H$82*(G92/$G$98))/$B$8)</f>
        <v>0</v>
      </c>
      <c r="G92" s="81">
        <f>IF(B15=0,0,(131.5+3*(0.62+0.48+0.46+0.1+0.83)))</f>
        <v>0</v>
      </c>
      <c r="H92" s="88">
        <v>0</v>
      </c>
      <c r="I92" s="62">
        <f t="shared" si="16"/>
        <v>0</v>
      </c>
      <c r="J92" s="129"/>
    </row>
    <row r="93" spans="1:10" ht="12.75" customHeight="1" x14ac:dyDescent="0.25">
      <c r="A93" s="15" t="s">
        <v>78</v>
      </c>
      <c r="B93" s="81">
        <f>IF(B14=0,0,(2/5)*$D$29)</f>
        <v>0</v>
      </c>
      <c r="C93" s="68"/>
      <c r="D93" s="81">
        <f>IF(B14=0,0,((1/5)*$D$30)+(($H$83*(G93/$G$98))/$B$8))</f>
        <v>0</v>
      </c>
      <c r="E93" s="81"/>
      <c r="F93" s="123">
        <f>IF(B14=0,0,($H$82*(G93/$G$98))/$B$8)</f>
        <v>0</v>
      </c>
      <c r="G93" s="81">
        <f>IF(B14=0,0,(0))</f>
        <v>0</v>
      </c>
      <c r="H93" s="108">
        <f>IF(B14=0,0,(0.8+0.17)*(G14/0.97))</f>
        <v>0</v>
      </c>
      <c r="I93" s="62">
        <f t="shared" si="16"/>
        <v>0</v>
      </c>
      <c r="J93" s="129"/>
    </row>
    <row r="94" spans="1:10" ht="12.75" customHeight="1" x14ac:dyDescent="0.25">
      <c r="A94" s="15" t="s">
        <v>79</v>
      </c>
      <c r="B94" s="81">
        <f>IF(D13=0,0,((1+1.25+1+1)/5)*$D$29)</f>
        <v>0</v>
      </c>
      <c r="C94" s="68"/>
      <c r="D94" s="81">
        <f>IF(D13=0,0,(((1+1.25+1+1)/5)*$D$30)+(($H$83*(G94/$G$98))/$B$8))</f>
        <v>0</v>
      </c>
      <c r="E94" s="81"/>
      <c r="F94" s="123">
        <f>IF(D13=0,0,($H$82*(G94/$G$98))/$B$8)</f>
        <v>0</v>
      </c>
      <c r="G94" s="81">
        <f>IF(D13=0,0,(0+0+0))</f>
        <v>0</v>
      </c>
      <c r="H94" s="108">
        <f>IF(D13=0,0,(81.47)*(G13/81.47))</f>
        <v>0</v>
      </c>
      <c r="I94" s="62">
        <f t="shared" si="16"/>
        <v>0</v>
      </c>
      <c r="J94" s="129"/>
    </row>
    <row r="95" spans="1:10" ht="12.75" customHeight="1" x14ac:dyDescent="0.25">
      <c r="A95" s="15" t="s">
        <v>102</v>
      </c>
      <c r="B95" s="81">
        <f>((40+11.25)/5)*$D$29</f>
        <v>170.45749999999998</v>
      </c>
      <c r="C95" s="68"/>
      <c r="D95" s="81">
        <f>(((13.33+0)/5)*$D$30)+(($H$83*(G95/$G$98))/$B$8)</f>
        <v>12.85012</v>
      </c>
      <c r="E95" s="81"/>
      <c r="F95" s="123">
        <f>($H$82*(G95/$G$98))/$B$8</f>
        <v>0</v>
      </c>
      <c r="G95" s="81">
        <f>0</f>
        <v>0</v>
      </c>
      <c r="H95" s="81">
        <f>(100)*(G46/100)</f>
        <v>100</v>
      </c>
      <c r="I95" s="62">
        <f t="shared" si="16"/>
        <v>283.30761999999999</v>
      </c>
      <c r="J95" s="129"/>
    </row>
    <row r="96" spans="1:10" ht="12.75" customHeight="1" x14ac:dyDescent="0.25">
      <c r="A96" s="15" t="s">
        <v>101</v>
      </c>
      <c r="B96" s="81">
        <f>((56.25+20)/5)*$D$29</f>
        <v>253.60749999999999</v>
      </c>
      <c r="C96" s="68"/>
      <c r="D96" s="81">
        <f>(((0+13.33)/5)*$D$30)+(($H$83*(G96/$G$98))/$B$8)</f>
        <v>14.229294354406182</v>
      </c>
      <c r="E96" s="81"/>
      <c r="F96" s="123">
        <f>($H$82*(G96/$G$98))/$B$8</f>
        <v>29.642397374344302</v>
      </c>
      <c r="G96" s="81">
        <f>((7*0.96571429)+(7*2.08)+131.5+18.04)</f>
        <v>170.86000002999998</v>
      </c>
      <c r="H96" s="88">
        <v>0</v>
      </c>
      <c r="I96" s="62">
        <f t="shared" si="16"/>
        <v>468.33919175875042</v>
      </c>
      <c r="J96" s="129"/>
    </row>
    <row r="97" spans="1:10" ht="12.75" customHeight="1" x14ac:dyDescent="0.25">
      <c r="A97" s="44" t="s">
        <v>75</v>
      </c>
      <c r="B97" s="84">
        <f>IF(B19=0,0,((1+2.5+1+1)/5)*$D$29)</f>
        <v>18.292999999999999</v>
      </c>
      <c r="C97" s="66"/>
      <c r="D97" s="84">
        <f>IF(B19=0,0,(((1+0.2+1+1)/5)*$D$30)+(($H$83*(G97/$G$98))/$B$8))</f>
        <v>4.4183678043511563</v>
      </c>
      <c r="E97" s="84"/>
      <c r="F97" s="84">
        <f>IF(B19=0,0,($H$82*(G97/$G$98))/$B$8)</f>
        <v>28.662182309233042</v>
      </c>
      <c r="G97" s="84">
        <f>IF(B19=0,0,(131.5+2.95+1.08+5.36+2.45+(4*0.9575)+18.04))</f>
        <v>165.21</v>
      </c>
      <c r="H97" s="66">
        <f>IF(B19=0,0,261.67*(G19/261.67))</f>
        <v>262</v>
      </c>
      <c r="I97" s="67">
        <f t="shared" si="16"/>
        <v>478.58355011358424</v>
      </c>
      <c r="J97" s="136"/>
    </row>
    <row r="98" spans="1:10" ht="12.75" customHeight="1" x14ac:dyDescent="0.25">
      <c r="A98" s="34" t="s">
        <v>27</v>
      </c>
      <c r="B98" s="66">
        <f>SUM(B87:B97)</f>
        <v>480.24113999999997</v>
      </c>
      <c r="C98" s="66"/>
      <c r="D98" s="66">
        <f>SUM(D87:D97)</f>
        <v>37.891800000000003</v>
      </c>
      <c r="E98" s="84"/>
      <c r="F98" s="66">
        <f>SUM(F87:F97)</f>
        <v>90.27000000000001</v>
      </c>
      <c r="G98" s="66">
        <f>SUM(G87:G97)</f>
        <v>520.32000002999996</v>
      </c>
      <c r="H98" s="66">
        <f>SUM(H87:H97)</f>
        <v>624</v>
      </c>
      <c r="I98" s="67">
        <f>SUM(D98:G98)</f>
        <v>648.48180002999993</v>
      </c>
      <c r="J98" s="35"/>
    </row>
    <row r="99" spans="1:10" ht="18" customHeight="1" x14ac:dyDescent="0.25">
      <c r="A99" s="69" t="s">
        <v>85</v>
      </c>
      <c r="B99" s="37"/>
      <c r="C99" s="37"/>
      <c r="D99" s="37"/>
      <c r="E99" s="100"/>
      <c r="F99" s="37"/>
      <c r="G99" s="77"/>
      <c r="H99" s="77"/>
      <c r="I99" s="77"/>
      <c r="J99" s="11"/>
    </row>
    <row r="100" spans="1:10" ht="37.9" hidden="1" customHeight="1" x14ac:dyDescent="0.25">
      <c r="A100" s="161"/>
      <c r="B100" s="161"/>
      <c r="C100" s="161"/>
      <c r="D100" s="161"/>
      <c r="E100" s="161"/>
      <c r="F100" s="161"/>
      <c r="G100" s="161"/>
      <c r="H100" s="161"/>
      <c r="I100" s="161"/>
      <c r="J100" s="161"/>
    </row>
    <row r="101" spans="1:10" ht="13.9" customHeight="1" x14ac:dyDescent="0.25">
      <c r="A101" s="16" t="s">
        <v>16</v>
      </c>
      <c r="B101" s="17"/>
      <c r="C101" s="17"/>
      <c r="D101" s="6"/>
      <c r="E101" s="97"/>
      <c r="F101" s="6"/>
      <c r="G101" s="6"/>
      <c r="H101" s="6"/>
      <c r="I101" s="6"/>
      <c r="J101" s="11"/>
    </row>
    <row r="102" spans="1:10" ht="16.899999999999999" customHeight="1" x14ac:dyDescent="0.25">
      <c r="A102" s="45" t="s">
        <v>37</v>
      </c>
      <c r="B102" s="6"/>
      <c r="C102" s="6"/>
      <c r="D102" s="6"/>
      <c r="E102" s="97"/>
      <c r="F102" s="6"/>
      <c r="G102" s="6"/>
      <c r="H102" s="6"/>
      <c r="I102" s="6"/>
      <c r="J102" s="11"/>
    </row>
    <row r="103" spans="1:10" ht="24" customHeight="1" x14ac:dyDescent="0.25"/>
    <row r="104" spans="1:10" ht="16.899999999999999" customHeight="1" x14ac:dyDescent="0.25">
      <c r="J104" s="4"/>
    </row>
    <row r="105" spans="1:10" ht="13.9" customHeight="1" x14ac:dyDescent="0.25">
      <c r="J105" s="4"/>
    </row>
    <row r="106" spans="1:10" ht="13.9" customHeight="1" x14ac:dyDescent="0.25">
      <c r="J106" s="4"/>
    </row>
    <row r="107" spans="1:10" ht="13.9" customHeight="1" x14ac:dyDescent="0.25">
      <c r="J107" s="4"/>
    </row>
    <row r="108" spans="1:10" ht="13.9" customHeight="1" x14ac:dyDescent="0.25">
      <c r="J108" s="4"/>
    </row>
    <row r="109" spans="1:10" ht="13.9" customHeight="1" x14ac:dyDescent="0.25">
      <c r="J109" s="4"/>
    </row>
    <row r="110" spans="1:10" ht="13.9" customHeight="1" x14ac:dyDescent="0.25">
      <c r="J110" s="4"/>
    </row>
    <row r="111" spans="1:10" ht="13.9" customHeight="1" x14ac:dyDescent="0.25">
      <c r="J111" s="4"/>
    </row>
    <row r="112" spans="1:10" ht="13.9" customHeight="1" x14ac:dyDescent="0.25">
      <c r="J112" s="4"/>
    </row>
    <row r="113" spans="10:10" ht="13.9" customHeight="1" x14ac:dyDescent="0.25">
      <c r="J113" s="4"/>
    </row>
    <row r="114" spans="10:10" ht="13.9" customHeight="1" x14ac:dyDescent="0.25">
      <c r="J114" s="4"/>
    </row>
    <row r="115" spans="10:10" ht="6.75" customHeight="1" x14ac:dyDescent="0.25">
      <c r="J115" s="4"/>
    </row>
    <row r="116" spans="10:10" ht="13.9" customHeight="1" x14ac:dyDescent="0.25">
      <c r="J116" s="4"/>
    </row>
    <row r="117" spans="10:10" ht="13.9" customHeight="1" x14ac:dyDescent="0.25">
      <c r="J117" s="4"/>
    </row>
    <row r="118" spans="10:10" ht="13.9" customHeight="1" x14ac:dyDescent="0.25">
      <c r="J118" s="4"/>
    </row>
    <row r="119" spans="10:10" ht="13.9" customHeight="1" x14ac:dyDescent="0.25">
      <c r="J119" s="4"/>
    </row>
    <row r="120" spans="10:10" ht="13.9" customHeight="1" x14ac:dyDescent="0.25">
      <c r="J120" s="4"/>
    </row>
    <row r="121" spans="10:10" ht="13.9" customHeight="1" x14ac:dyDescent="0.25">
      <c r="J121" s="4"/>
    </row>
    <row r="122" spans="10:10" ht="13.9" customHeight="1" x14ac:dyDescent="0.25">
      <c r="J122" s="4"/>
    </row>
    <row r="123" spans="10:10" ht="13.9" customHeight="1" x14ac:dyDescent="0.25">
      <c r="J123" s="4"/>
    </row>
    <row r="124" spans="10:10" ht="13.9" customHeight="1" x14ac:dyDescent="0.25"/>
    <row r="125" spans="10:10" ht="13.9" customHeight="1" x14ac:dyDescent="0.25"/>
  </sheetData>
  <sheetProtection algorithmName="SHA-512" hashValue="Vq5zEGAHLELo4UhaoKUZO7inYlvylaN0gQau5g8lHVq6eG47+TLfbmtL0x3tqVsiMO16i+djvC6TC16zRgGBOg==" saltValue="FCm1uuDOBKnMF4m4yd+eaQ==" spinCount="100000" sheet="1" objects="1" scenarios="1" selectLockedCells="1"/>
  <mergeCells count="13">
    <mergeCell ref="B54:D54"/>
    <mergeCell ref="A1:J1"/>
    <mergeCell ref="A2:J2"/>
    <mergeCell ref="A3:J3"/>
    <mergeCell ref="B22:D22"/>
    <mergeCell ref="B33:D33"/>
    <mergeCell ref="A84:G84"/>
    <mergeCell ref="A100:J100"/>
    <mergeCell ref="A76:J76"/>
    <mergeCell ref="A77:J77"/>
    <mergeCell ref="A79:J79"/>
    <mergeCell ref="A80:J80"/>
    <mergeCell ref="A81:J81"/>
  </mergeCells>
  <pageMargins left="0.7" right="0.7" top="0.75" bottom="0.75" header="0.3" footer="0.3"/>
  <pageSetup scale="56" orientation="portrait" r:id="rId1"/>
  <rowBreaks count="1" manualBreakCount="1">
    <brk id="71"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BB-ORG 15 acres-FRSH</vt:lpstr>
      <vt:lpstr>'Wild BB-ORG 15 acres-FRSH'!Print_Area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2024-05-14T22:03:17Z</cp:lastPrinted>
  <dcterms:created xsi:type="dcterms:W3CDTF">2010-01-08T17:04:22Z</dcterms:created>
  <dcterms:modified xsi:type="dcterms:W3CDTF">2024-05-14T22:03:37Z</dcterms:modified>
</cp:coreProperties>
</file>