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7.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trlProps/ctrlProp8.xml" ContentType="application/vnd.ms-excel.controlproperties+xml"/>
  <Override PartName="/xl/ctrlProps/ctrlProp9.xml" ContentType="application/vnd.ms-excel.controlproperti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Docs\AgPlan\Financial Tools\"/>
    </mc:Choice>
  </mc:AlternateContent>
  <bookViews>
    <workbookView xWindow="0" yWindow="0" windowWidth="28800" windowHeight="11700"/>
  </bookViews>
  <sheets>
    <sheet name="Gen Info" sheetId="10" r:id="rId1"/>
    <sheet name="Inputs" sheetId="13" state="hidden" r:id="rId2"/>
    <sheet name="Asset Entry" sheetId="4" r:id="rId3"/>
    <sheet name="Inventory" sheetId="18" r:id="rId4"/>
    <sheet name="Liability Entry" sheetId="5" r:id="rId5"/>
    <sheet name="Loan Entry" sheetId="12" r:id="rId6"/>
    <sheet name="Final Balance Sheet" sheetId="11" r:id="rId7"/>
    <sheet name="Loans to Cash Flows Wkst" sheetId="14" state="hidden" r:id="rId8"/>
    <sheet name="Cash Flows" sheetId="8" r:id="rId9"/>
    <sheet name="ProposedLoans" sheetId="15" r:id="rId10"/>
    <sheet name="ProposedLoansWkst" sheetId="16" state="hidden" r:id="rId11"/>
    <sheet name="Projected Inventory" sheetId="21" r:id="rId12"/>
    <sheet name="Final Income and Cash Flows" sheetId="2" r:id="rId13"/>
    <sheet name="Financial Scorecard" sheetId="19" r:id="rId14"/>
    <sheet name="Projected BS" sheetId="20" state="hidden" r:id="rId15"/>
    <sheet name="Dashboard" sheetId="22" r:id="rId16"/>
  </sheets>
  <definedNames>
    <definedName name="_xlnm._FilterDatabase" localSheetId="12" hidden="1">'Final Income and Cash Flows'!$E$100:$E$157</definedName>
    <definedName name="_xlcn.WorksheetConnection_FishBizFinancials.xlsxTabAPHideDM1" hidden="1">'Final Income and Cash Flows'!$A$100:$A$157</definedName>
    <definedName name="_xlcn.WorksheetConnection_FishBizFinancials.xlsxTabMPHideDM1" hidden="1">'Cash Flows'!$K$1:$K$64</definedName>
    <definedName name="ACFBuildBSValTot">'Cash Flows'!$D$88</definedName>
    <definedName name="ACFCapPurchBuildingsTot">'Cash Flows'!$D$57</definedName>
    <definedName name="ACFCapPurchEquipTot">'Cash Flows'!$D$55</definedName>
    <definedName name="ACFCapPurchInput">'Final Income and Cash Flows'!$D$93</definedName>
    <definedName name="ACFCapPurchLivestockTot">'Cash Flows'!$D$56</definedName>
    <definedName name="ACFCropInsIncInput">'Final Income and Cash Flows'!$D$25</definedName>
    <definedName name="ACFCropInsIncTot">'Cash Flows'!$D$16</definedName>
    <definedName name="ACFCullIncomeInput">'Final Income and Cash Flows'!$D$22</definedName>
    <definedName name="ACFCullIncomeTot">'Cash Flows'!$D$14</definedName>
    <definedName name="ACFDMCapPurchInput">'Final Income and Cash Flows'!$D$152</definedName>
    <definedName name="ACFDMCapPurchTot">'Cash Flows'!$D$127</definedName>
    <definedName name="ACFDMEquipBSValTot">'Cash Flows'!$D$154</definedName>
    <definedName name="ACFDMEquipGainInput">'Final Income and Cash Flows'!$D$114</definedName>
    <definedName name="ACFDMEquipGainTot">'Cash Flows'!$D$155</definedName>
    <definedName name="ACFDMEquipSaleInput">'Final Income and Cash Flows'!$D$153</definedName>
    <definedName name="ACFDMEquipSaleTot">'Cash Flows'!$D$109</definedName>
    <definedName name="ACFDMEtcInput">'Final Income and Cash Flows'!$D$112</definedName>
    <definedName name="ACFDMEtcTot">'Cash Flows'!$D$108</definedName>
    <definedName name="ACFDMFCDeprInput">'Final Income and Cash Flows'!$D$136</definedName>
    <definedName name="ACFDMFCDeprTot">'Cash Flows'!$D$153</definedName>
    <definedName name="ACFDMFCIntInput">'Final Income and Cash Flows'!$D$137</definedName>
    <definedName name="ACFDMFCIntTot">'Cash Flows'!$D$132</definedName>
    <definedName name="ACFDMFCMiscInput">'Final Income and Cash Flows'!$D$138</definedName>
    <definedName name="ACFDMFCMiscTot">'Cash Flows'!$D$133</definedName>
    <definedName name="ACFDMFCOthInput">'Final Income and Cash Flows'!$D$139</definedName>
    <definedName name="ACFDMFCOthTot">'Cash Flows'!$D$134</definedName>
    <definedName name="ACFDMFCPermitsInput">'Final Income and Cash Flows'!$D$134</definedName>
    <definedName name="ACFDMFCPermitTot">'Cash Flows'!$D$130</definedName>
    <definedName name="ACFDMFCPromoInput">'Final Income and Cash Flows'!$D$133</definedName>
    <definedName name="ACFDMFCPromoTot">'Cash Flows'!$D$129</definedName>
    <definedName name="ACFDMFCRentInput">'Final Income and Cash Flows'!$D$132</definedName>
    <definedName name="ACFDMFCRentTot">'Cash Flows'!$D$128</definedName>
    <definedName name="ACFDMFCVehInput">'Final Income and Cash Flows'!$D$135</definedName>
    <definedName name="ACFDMFCVehTot">'Cash Flows'!$D$131</definedName>
    <definedName name="ACFDMINVChangeInput">'Final Income and Cash Flows'!$D$113</definedName>
    <definedName name="ACFDMINVChangeTot">'Cash Flows'!$D$152</definedName>
    <definedName name="ACFDMNewCredInput">'Final Income and Cash Flows'!$D$150</definedName>
    <definedName name="ACFDMNewCredTot">'Cash Flows'!$D$143</definedName>
    <definedName name="ACFDMNewDMOpInput">'Final Income and Cash Flows'!$D$151</definedName>
    <definedName name="ACFDMNewDMOpTot">'Cash Flows'!$D$144</definedName>
    <definedName name="ACFDMOthInput">'Final Income and Cash Flows'!$D$115</definedName>
    <definedName name="ACFDMOthTot">'Cash Flows'!$D$110</definedName>
    <definedName name="ACFDMPrinInput">'Final Income and Cash Flows'!$D$149</definedName>
    <definedName name="ACFDMPrinOpTot">'Cash Flows'!$D$142</definedName>
    <definedName name="ACFDMPrinTot">'Cash Flows'!$D$141</definedName>
    <definedName name="ACFDMSalesCSAInput">'Final Income and Cash Flows'!$D$109</definedName>
    <definedName name="ACFDMSalesCSATot">'Cash Flows'!$D$105</definedName>
    <definedName name="ACFDMSalesFarmMktInput">'Final Income and Cash Flows'!$D$108</definedName>
    <definedName name="ACFDMSalesFarmMktTot">'Cash Flows'!$D$104</definedName>
    <definedName name="ACFDMSalesFarmstandInput">'Final Income and Cash Flows'!$D$110</definedName>
    <definedName name="ACFDMSalesFarmstandTot">'Cash Flows'!$D$106</definedName>
    <definedName name="ACFDMSalesOtherInput">'Final Income and Cash Flows'!$D$111</definedName>
    <definedName name="ACFDMSalesOtherTot">'Cash Flows'!$D$107</definedName>
    <definedName name="ACFDMValueLaborTot">'Cash Flows'!$D$151</definedName>
    <definedName name="ACFDMVCColdInput">'Final Income and Cash Flows'!$D$126</definedName>
    <definedName name="ACFDMVCColdTot">'Cash Flows'!$D$121</definedName>
    <definedName name="ACFDMVCInsInput">'Final Income and Cash Flows'!$D$120</definedName>
    <definedName name="ACFDMVCInsTot">'Cash Flows'!$D$115</definedName>
    <definedName name="ACFDMVCLaborInput">'Final Income and Cash Flows'!$D$119</definedName>
    <definedName name="ACFDMVCLaborTot">'Cash Flows'!$D$114</definedName>
    <definedName name="ACFDMVCMktSuppInput">'Final Income and Cash Flows'!$D$123</definedName>
    <definedName name="ACFDMVCMktSuppTot">'Cash Flows'!$D$118</definedName>
    <definedName name="ACFDMVCOthInput">'Final Income and Cash Flows'!$D$128</definedName>
    <definedName name="ACFDMVCOthTot">'Cash Flows'!$D$123</definedName>
    <definedName name="ACFDMVCPackInput">'Final Income and Cash Flows'!$D$121</definedName>
    <definedName name="ACFDMVCPackTot">'Cash Flows'!$D$116</definedName>
    <definedName name="ACFDMVCResaleInput">'Final Income and Cash Flows'!$D$127</definedName>
    <definedName name="ACFDMVCResaleTot">'Cash Flows'!$D$122</definedName>
    <definedName name="ACFDMVCShipInput">'Final Income and Cash Flows'!$D$124</definedName>
    <definedName name="ACFDMVCShippingTot">'Cash Flows'!$D$119</definedName>
    <definedName name="ACFDMVCSuppliesInput">'Final Income and Cash Flows'!$D$122</definedName>
    <definedName name="ACFDMVCSuppliesTot">'Cash Flows'!$D$117</definedName>
    <definedName name="ACFDMVCUtilInput">'Final Income and Cash Flows'!$D$125</definedName>
    <definedName name="ACFDMVCUtilTot">'Cash Flows'!$D$120</definedName>
    <definedName name="ACFEquipBSValTot">'Cash Flows'!$D$86</definedName>
    <definedName name="ACFFCDeprBuildInput">'Final Income and Cash Flows'!$D$67</definedName>
    <definedName name="ACFFCDeprBuildTot">'Cash Flows'!$D$85</definedName>
    <definedName name="ACFFCDeprEquipInput">'Final Income and Cash Flows'!$D$65</definedName>
    <definedName name="ACFFCDeprEquipTot">'Cash Flows'!$D$83</definedName>
    <definedName name="ACFFCDeprLivestockInput">'Final Income and Cash Flows'!$D$66</definedName>
    <definedName name="ACFFCDeprLivestockTot">'Cash Flows'!$D$84</definedName>
    <definedName name="ACFFCFarmInsInput">'Final Income and Cash Flows'!$D$68</definedName>
    <definedName name="ACFFCFarmInsTot">'Cash Flows'!$D$62</definedName>
    <definedName name="ACFFCInterestInput">'Final Income and Cash Flows'!$D$64</definedName>
    <definedName name="ACFFCInterestTot">'Cash Flows'!$D$61</definedName>
    <definedName name="ACFFCLandRentInput">'Final Income and Cash Flows'!$D$52</definedName>
    <definedName name="ACFFCLandRentTot">'Cash Flows'!$D$58</definedName>
    <definedName name="ACFFCMachLeaseInput">'Final Income and Cash Flows'!$D$63</definedName>
    <definedName name="ACFFCMachLeaseTot">'Cash Flows'!$D$59</definedName>
    <definedName name="ACFFCOthInput">'Final Income and Cash Flows'!$D$71</definedName>
    <definedName name="ACFFCOthTot">'Cash Flows'!$D$65</definedName>
    <definedName name="ACFFCPermitInput">'Final Income and Cash Flows'!#REF!</definedName>
    <definedName name="ACFFCPermitTot">'Cash Flows'!$D$60</definedName>
    <definedName name="ACFFCProfInput">'Final Income and Cash Flows'!$D$69</definedName>
    <definedName name="ACFFCProfTot">'Cash Flows'!$D$63</definedName>
    <definedName name="ACFFCPropTaxInput">'Final Income and Cash Flows'!$D$70</definedName>
    <definedName name="ACFFCPropTaxTot">'Cash Flows'!$D$64</definedName>
    <definedName name="ACFGainBuildTot">'Cash Flows'!$D$91</definedName>
    <definedName name="ACFGainEquipInput">'Final Income and Cash Flows'!$D$27</definedName>
    <definedName name="ACFGainEquipTot">'Cash Flows'!$D$89</definedName>
    <definedName name="ACFGainPurchLivestockTot">'Cash Flows'!$D$90</definedName>
    <definedName name="ACFGovPayInput">'Final Income and Cash Flows'!$D$24</definedName>
    <definedName name="ACFGovPayTot">'Cash Flows'!$D$15</definedName>
    <definedName name="ACFIncCustomWorkInput">'Final Income and Cash Flows'!$D$28</definedName>
    <definedName name="ACFIncCustomWorkTot">'Cash Flows'!$D$20</definedName>
    <definedName name="ACFINVChangeInput">'Final Income and Cash Flows'!$D$23</definedName>
    <definedName name="ACFINVChangeTot">'Cash Flows'!$D$93</definedName>
    <definedName name="ACFINVCropChangeTot">'Cash Flows'!$D$92</definedName>
    <definedName name="ACFLivestockBSValTot">'Cash Flows'!$D$87</definedName>
    <definedName name="ACFNewCredInput">'Final Income and Cash Flows'!$D$91</definedName>
    <definedName name="ACFNewCredTot">'Cash Flows'!$D$74</definedName>
    <definedName name="ACFNewOpInput">'Final Income and Cash Flows'!$D$92</definedName>
    <definedName name="ACFNewOpTot">'Cash Flows'!$D$75</definedName>
    <definedName name="ACFOthIncomeInput">'Final Income and Cash Flows'!$D$29</definedName>
    <definedName name="ACFOthTot">'Cash Flows'!$D$21</definedName>
    <definedName name="ACFPatronageInput">'Final Income and Cash Flows'!$D$26</definedName>
    <definedName name="ACFPatronageTot">'Cash Flows'!$D$17</definedName>
    <definedName name="ACFPChildCareInput">'Final Income and Cash Flows'!$D$187</definedName>
    <definedName name="ACFPChildCareTot">'Cash Flows'!$D$182</definedName>
    <definedName name="ACFPChildSupInput">'Final Income and Cash Flows'!$D$188</definedName>
    <definedName name="ACFPChildSupTot">'Cash Flows'!$D$183</definedName>
    <definedName name="ACFPClothingInput">'Final Income and Cash Flows'!$D$185</definedName>
    <definedName name="ACFPClothingTot">'Cash Flows'!$D$180</definedName>
    <definedName name="ACFPDisInsInput">'Final Income and Cash Flows'!$D$182</definedName>
    <definedName name="ACFPDisInsTot">'Cash Flows'!$D$177</definedName>
    <definedName name="ACFPEducationInput">'Final Income and Cash Flows'!$D$189</definedName>
    <definedName name="ACFPEducationTot">'Cash Flows'!$D$184</definedName>
    <definedName name="ACFPFoodInput">'Final Income and Cash Flows'!$D$178</definedName>
    <definedName name="ACFPFoodTot">'Cash Flows'!$D$173</definedName>
    <definedName name="ACFPGiftsInput">'Final Income and Cash Flows'!$D$183</definedName>
    <definedName name="ACFPGiftsTot">'Cash Flows'!$D$178</definedName>
    <definedName name="ACFPIncPersLoansInput">'Final Income and Cash Flows'!$D$199</definedName>
    <definedName name="ACFPIncPersLoansInputLoan">'Final Income and Cash Flows'!$D$173</definedName>
    <definedName name="ACFPIncPersLoansTot">'Cash Flows'!$D$194</definedName>
    <definedName name="ACFPIncPersLoansTotLoan">'Cash Flows'!$D$168</definedName>
    <definedName name="ACFPIncPersREEInput">'Final Income and Cash Flows'!$D$198</definedName>
    <definedName name="ACFPIncPersREEInputLoan">'Final Income and Cash Flows'!$D$172</definedName>
    <definedName name="aCFPIncPersREETot">'Cash Flows'!$D$193</definedName>
    <definedName name="ACFPIncPersREETotLoan">'Cash Flows'!$D$167</definedName>
    <definedName name="ACFPIncTaxInput">'Final Income and Cash Flows'!$D$197</definedName>
    <definedName name="ACFPIncTaxTot">'Cash Flows'!$D$192</definedName>
    <definedName name="ACFPInsInput">'Final Income and Cash Flows'!$D$180</definedName>
    <definedName name="ACFPInsTot">'Cash Flows'!$D$175</definedName>
    <definedName name="ACFPIntIncTot">'Cash Flows'!$D$165</definedName>
    <definedName name="ACFPIntInput">'Final Income and Cash Flows'!$D$170</definedName>
    <definedName name="ACFPInvestInput">'Final Income and Cash Flows'!$D$171</definedName>
    <definedName name="ACFPInvestTot">'Cash Flows'!$D$166</definedName>
    <definedName name="ACFPLifeInsInput">'Final Income and Cash Flows'!$D$181</definedName>
    <definedName name="ACFPLifeInsTot">'Cash Flows'!$D$176</definedName>
    <definedName name="ACFPLoanPayInput">'Final Income and Cash Flows'!$D$193</definedName>
    <definedName name="ACFPLoanPayTot">'Cash Flows'!$D$188</definedName>
    <definedName name="ACFPMedicalInput">'Final Income and Cash Flows'!$D$179</definedName>
    <definedName name="ACFPMedicalTot">'Cash Flows'!$D$174</definedName>
    <definedName name="ACFPMortInput">'Final Income and Cash Flows'!$D$194</definedName>
    <definedName name="ACFPMortTot">'Cash Flows'!$D$189</definedName>
    <definedName name="ACFPOthIncInput">'Final Income and Cash Flows'!$D$174</definedName>
    <definedName name="ACFPOthIncTot">'Cash Flows'!$D$169</definedName>
    <definedName name="ACFPOthPayInput">'Final Income and Cash Flows'!$D$204</definedName>
    <definedName name="ACFPOthPayTot">'Cash Flows'!$D$199</definedName>
    <definedName name="ACFPOthPurchInput">'Final Income and Cash Flows'!$D$203</definedName>
    <definedName name="ACFPOthPurchTot">'Cash Flows'!$D$198</definedName>
    <definedName name="ACFPPersCapPurchInput">'Final Income and Cash Flows'!$D$202</definedName>
    <definedName name="ACFPPersCapPurchTot">'Cash Flows'!$D$197</definedName>
    <definedName name="ACFPPersCareInput">'Final Income and Cash Flows'!$D$186</definedName>
    <definedName name="ACFPPersCareTot">'Cash Flows'!$D$181</definedName>
    <definedName name="ACFPPersRetirementInput">'Final Income and Cash Flows'!$D$200</definedName>
    <definedName name="ACFPPersRetirementTot">'Cash Flows'!$D$195</definedName>
    <definedName name="ACFPPersVehPurchInput">'Final Income and Cash Flows'!$D$201</definedName>
    <definedName name="ACFPPersVehPurchTot">'Cash Flows'!$D$196</definedName>
    <definedName name="ACFPPropInsInput">'Final Income and Cash Flows'!$D$195</definedName>
    <definedName name="ACFPPropInsTot">'Cash Flows'!$D$190</definedName>
    <definedName name="ACFPRecInput">'Final Income and Cash Flows'!$D$190</definedName>
    <definedName name="ACFPRecTot">'Cash Flows'!$D$185</definedName>
    <definedName name="ACFPRETaxesInput">'Final Income and Cash Flows'!$D$196</definedName>
    <definedName name="ACFPRETaxesTot">'Cash Flows'!$D$191</definedName>
    <definedName name="ACFPrinInput">'Final Income and Cash Flows'!$D$90</definedName>
    <definedName name="ACFPrinOpTot">'Cash Flows'!$D$73</definedName>
    <definedName name="ACFPrinTot">'Cash Flows'!$D$72</definedName>
    <definedName name="ACFPSupInput">'Final Income and Cash Flows'!$D$184</definedName>
    <definedName name="ACFPSupTot">'Cash Flows'!$D$179</definedName>
    <definedName name="ACFPUtilInput">'Final Income and Cash Flows'!$D$191</definedName>
    <definedName name="ACFPUtilTot">'Cash Flows'!$D$186</definedName>
    <definedName name="ACFPVehInput">'Final Income and Cash Flows'!$D$192</definedName>
    <definedName name="ACFPVehTot">'Cash Flows'!$D$187</definedName>
    <definedName name="ACFPWagesInput">'Final Income and Cash Flows'!$D$169</definedName>
    <definedName name="ACFPWagesTot">'Cash Flows'!$D$164</definedName>
    <definedName name="ACFSalesBuildInput">'Final Income and Cash Flows'!$D$96</definedName>
    <definedName name="ACFSalesBuildTot">'Cash Flows'!$D$19</definedName>
    <definedName name="ACFSalesCropsInput">'Final Income and Cash Flows'!$D$18</definedName>
    <definedName name="ACFSalesCropTot">'Cash Flows'!$D$10</definedName>
    <definedName name="ACFSalesEquipInput">'Final Income and Cash Flows'!$D$94</definedName>
    <definedName name="ACFSalesEquipTot">'Cash Flows'!$D$18</definedName>
    <definedName name="ACFSalesLivestockInput">'Final Income and Cash Flows'!$D$20</definedName>
    <definedName name="ACFSalesLivestockProdInput">'Final Income and Cash Flows'!$D$21</definedName>
    <definedName name="ACFSalesLivestockProdTot">'Cash Flows'!$D$13</definedName>
    <definedName name="ACFSalesLivestockTot">'Cash Flows'!$D$12</definedName>
    <definedName name="ACFSalesVegFruitInput">'Final Income and Cash Flows'!$D$19</definedName>
    <definedName name="ACFSalesVegFruitTot">'Cash Flows'!$D$11</definedName>
    <definedName name="ACFValueLaborTot">'Cash Flows'!$D$82</definedName>
    <definedName name="ACFVCChemInput">'Final Income and Cash Flows'!$D$35</definedName>
    <definedName name="ACFVCChemTot">'Cash Flows'!$D$27</definedName>
    <definedName name="ACFVCCropConsultInput">'Final Income and Cash Flows'!$D$42</definedName>
    <definedName name="ACFVCCropConsultTot">'Cash Flows'!$D$34</definedName>
    <definedName name="ACFVCCropInsInput">'Final Income and Cash Flows'!$D$36</definedName>
    <definedName name="ACFVCCropInsTot">'Cash Flows'!$D$28</definedName>
    <definedName name="ACFVCCropMarketingInput">'Final Income and Cash Flows'!$D$43</definedName>
    <definedName name="ACFVCCropMarketingTot">'Cash Flows'!$D$35</definedName>
    <definedName name="ACFVCCropSuppliesInput">'Final Income and Cash Flows'!$D$40</definedName>
    <definedName name="ACFVCCropSuppliesTot">'Cash Flows'!$D$32</definedName>
    <definedName name="ACFVCCustomHireInput">'Final Income and Cash Flows'!$D$56</definedName>
    <definedName name="ACFVCCustomHireTot">'Cash Flows'!$D$48</definedName>
    <definedName name="ACFVCDryingInput">'Final Income and Cash Flows'!$D$37</definedName>
    <definedName name="ACFVCDryingTot">'Cash Flows'!$D$29</definedName>
    <definedName name="ACFVCFeederLivestockInput">'Final Income and Cash Flows'!$D$44</definedName>
    <definedName name="ACFVCFeederLivestockTot">'Cash Flows'!$D$36</definedName>
    <definedName name="ACFVCFertilizerInput">'Final Income and Cash Flows'!$D$34</definedName>
    <definedName name="ACFVCFertilizerTot">'Cash Flows'!$D$26</definedName>
    <definedName name="ACFVCFuelInput">'Final Income and Cash Flows'!$D$53</definedName>
    <definedName name="ACFVCFuelTot">'Cash Flows'!$D$45</definedName>
    <definedName name="ACFVCGovProgInput">'Final Income and Cash Flows'!$D$50</definedName>
    <definedName name="ACFVCGovProgTot">'Cash Flows'!$D$42</definedName>
    <definedName name="ACFVCGrazingInput">'Final Income and Cash Flows'!$D$49</definedName>
    <definedName name="ACFVCGrazingTot">'Cash Flows'!$D$41</definedName>
    <definedName name="ACFVCGreenhouseSuppliesInput">'Final Income and Cash Flows'!$D$39</definedName>
    <definedName name="ACFVCGreenhouseSuppliesTot">'Cash Flows'!$D$31</definedName>
    <definedName name="ACFVCIrrigationInput">'Final Income and Cash Flows'!$D$41</definedName>
    <definedName name="ACFVCIrrigationTot">'Cash Flows'!$D$33</definedName>
    <definedName name="ACFVCLaborInput">'Final Income and Cash Flows'!$D$55</definedName>
    <definedName name="ACFVCLaborTot">'Cash Flows'!$D$47</definedName>
    <definedName name="ACFVCLivestockConsultInput">'Final Income and Cash Flows'!#REF!</definedName>
    <definedName name="ACFVCLivestockConsultTot">'Cash Flows'!$D$43</definedName>
    <definedName name="ACFVCLivestockInsuranceInput">'Final Income and Cash Flows'!$D$48</definedName>
    <definedName name="ACFVCLivestockInsuranceTot">'Cash Flows'!$D$40</definedName>
    <definedName name="ACFVCLivestockMarketingInput">'Final Income and Cash Flows'!$D$51</definedName>
    <definedName name="ACFVCLivestockMarketingTot">'Cash Flows'!$D$44</definedName>
    <definedName name="ACFVCLivestockSuppliesInput">'Final Income and Cash Flows'!$D$47</definedName>
    <definedName name="ACFVCLivestockSuppliesTot">'Cash Flows'!$D$39</definedName>
    <definedName name="ACFVCOthInput">'Final Income and Cash Flows'!$D$59</definedName>
    <definedName name="ACFVCOthTot">'Cash Flows'!$D$51</definedName>
    <definedName name="ACFVCPurchFeedInput">'Final Income and Cash Flows'!$D$45</definedName>
    <definedName name="ACFVCPurchFeedTot">'Cash Flows'!$D$37</definedName>
    <definedName name="ACFVCRepairsInput">'Final Income and Cash Flows'!$D$54</definedName>
    <definedName name="ACFVCRepairsTot">'Cash Flows'!$D$46</definedName>
    <definedName name="ACFVCSeedInput">'Final Income and Cash Flows'!$D$33</definedName>
    <definedName name="ACFVCSeedTot">'Cash Flows'!$D$25</definedName>
    <definedName name="ACFVCStorageInput">'Final Income and Cash Flows'!$D$38</definedName>
    <definedName name="ACFVCStorageTot">'Cash Flows'!$D$30</definedName>
    <definedName name="ACFVCTaxesInput">'Final Income and Cash Flows'!$D$58</definedName>
    <definedName name="ACFVCTaxesTot">'Cash Flows'!$D$50</definedName>
    <definedName name="ACFVCUtilInput">'Final Income and Cash Flows'!$D$57</definedName>
    <definedName name="ACFVCUtilTot">'Cash Flows'!$D$49</definedName>
    <definedName name="ACFVCVetInput">'Final Income and Cash Flows'!$D$46</definedName>
    <definedName name="ACFVCVetTot">'Cash Flows'!$D$38</definedName>
    <definedName name="Address">'Gen Info'!$K$6</definedName>
    <definedName name="AnnualIcon">Inputs!$D$25</definedName>
    <definedName name="BalanceSheet">'Final Balance Sheet'!$B$1:$G$62</definedName>
    <definedName name="Blank">Inputs!$A$1</definedName>
    <definedName name="BSBusLoans" localSheetId="11">#REF!</definedName>
    <definedName name="BSBusLoans" localSheetId="10">#REF!</definedName>
    <definedName name="BSBusLoans">#REF!</definedName>
    <definedName name="BSCABusLoans" localSheetId="11">#REF!</definedName>
    <definedName name="BSCABusLoans" localSheetId="10">#REF!</definedName>
    <definedName name="BSCABusLoans">#REF!</definedName>
    <definedName name="BSCACash" localSheetId="11">#REF!</definedName>
    <definedName name="BSCACash" localSheetId="10">#REF!</definedName>
    <definedName name="BSCACash">#REF!</definedName>
    <definedName name="BSCADueProc" localSheetId="11">#REF!</definedName>
    <definedName name="BSCADueProc" localSheetId="10">#REF!</definedName>
    <definedName name="BSCADueProc">#REF!</definedName>
    <definedName name="BSCAOthBusAR" localSheetId="11">#REF!</definedName>
    <definedName name="BSCAOthBusAR" localSheetId="10">#REF!</definedName>
    <definedName name="BSCAOthBusAR">#REF!</definedName>
    <definedName name="BSCAOther" localSheetId="11">#REF!</definedName>
    <definedName name="BSCAOther" localSheetId="10">#REF!</definedName>
    <definedName name="BSCAOther">#REF!</definedName>
    <definedName name="BSCAPrepaid" localSheetId="11">#REF!</definedName>
    <definedName name="BSCAPrepaid" localSheetId="10">#REF!</definedName>
    <definedName name="BSCAPrepaid">#REF!</definedName>
    <definedName name="BSCLAP" localSheetId="11">#REF!</definedName>
    <definedName name="BSCLAP" localSheetId="10">#REF!</definedName>
    <definedName name="BSCLAP">#REF!</definedName>
    <definedName name="BSCLCC" localSheetId="11">#REF!</definedName>
    <definedName name="BSCLCC" localSheetId="10">#REF!</definedName>
    <definedName name="BSCLCC">#REF!</definedName>
    <definedName name="BSCLCurrent" localSheetId="11">#REF!</definedName>
    <definedName name="BSCLCurrent" localSheetId="10">#REF!</definedName>
    <definedName name="BSCLCurrent">#REF!</definedName>
    <definedName name="BSCLCurrLT" localSheetId="11">#REF!</definedName>
    <definedName name="BSCLCurrLT" localSheetId="10">#REF!</definedName>
    <definedName name="BSCLCurrLT">#REF!</definedName>
    <definedName name="BSCLOth" localSheetId="11">#REF!</definedName>
    <definedName name="BSCLOth" localSheetId="10">#REF!</definedName>
    <definedName name="BSCLOth">#REF!</definedName>
    <definedName name="BSCLTaxes" localSheetId="11">#REF!</definedName>
    <definedName name="BSCLTaxes" localSheetId="10">#REF!</definedName>
    <definedName name="BSCLTaxes">#REF!</definedName>
    <definedName name="BSNCCapConst" localSheetId="11">#REF!</definedName>
    <definedName name="BSNCCapConst" localSheetId="10">#REF!</definedName>
    <definedName name="BSNCCapConst">#REF!</definedName>
    <definedName name="BSNCOth" localSheetId="11">#REF!</definedName>
    <definedName name="BSNCOth" localSheetId="10">#REF!</definedName>
    <definedName name="BSNCOth">#REF!</definedName>
    <definedName name="BSNCOthFishEquip" localSheetId="11">#REF!</definedName>
    <definedName name="BSNCOthFishEquip" localSheetId="10">#REF!</definedName>
    <definedName name="BSNCOthFishEquip">#REF!</definedName>
    <definedName name="BSNCPermits" localSheetId="11">#REF!</definedName>
    <definedName name="BSNCPermits" localSheetId="10">#REF!</definedName>
    <definedName name="BSNCPermits">#REF!</definedName>
    <definedName name="BSNCRE" localSheetId="11">#REF!</definedName>
    <definedName name="BSNCRE" localSheetId="10">#REF!</definedName>
    <definedName name="BSNCRE">#REF!</definedName>
    <definedName name="BSNCVehicles" localSheetId="11">#REF!</definedName>
    <definedName name="BSNCVehicles" localSheetId="10">#REF!</definedName>
    <definedName name="BSNCVehicles">#REF!</definedName>
    <definedName name="BSNCVessel" localSheetId="11">#REF!</definedName>
    <definedName name="BSNCVessel" localSheetId="10">#REF!</definedName>
    <definedName name="BSNCVessel">#REF!</definedName>
    <definedName name="BSNLBVeh" localSheetId="11">#REF!</definedName>
    <definedName name="BSNLBVeh" localSheetId="10">#REF!</definedName>
    <definedName name="BSNLBVeh">#REF!</definedName>
    <definedName name="BSNLOth" localSheetId="11">#REF!</definedName>
    <definedName name="BSNLOth" localSheetId="10">#REF!</definedName>
    <definedName name="BSNLOth">#REF!</definedName>
    <definedName name="BSNLPermit" localSheetId="11">#REF!</definedName>
    <definedName name="BSNLPermit" localSheetId="10">#REF!</definedName>
    <definedName name="BSNLPermit">#REF!</definedName>
    <definedName name="BSNLRE" localSheetId="11">#REF!</definedName>
    <definedName name="BSNLRE" localSheetId="10">#REF!</definedName>
    <definedName name="BSNLRE">#REF!</definedName>
    <definedName name="BSNLVessel" localSheetId="11">#REF!</definedName>
    <definedName name="BSNLVessel" localSheetId="10">#REF!</definedName>
    <definedName name="BSNLVessel">#REF!</definedName>
    <definedName name="BSPersCash" localSheetId="11">#REF!</definedName>
    <definedName name="BSPersCash" localSheetId="10">#REF!</definedName>
    <definedName name="BSPersCash">#REF!</definedName>
    <definedName name="BSPLAP" localSheetId="11">#REF!</definedName>
    <definedName name="BSPLAP" localSheetId="10">#REF!</definedName>
    <definedName name="BSPLAP">#REF!</definedName>
    <definedName name="BSPLCC" localSheetId="11">#REF!</definedName>
    <definedName name="BSPLCC" localSheetId="10">#REF!</definedName>
    <definedName name="BSPLCC">#REF!</definedName>
    <definedName name="BSPLife" localSheetId="11">#REF!</definedName>
    <definedName name="BSPLife" localSheetId="10">#REF!</definedName>
    <definedName name="BSPLife">#REF!</definedName>
    <definedName name="BSPLLoans" localSheetId="11">#REF!</definedName>
    <definedName name="BSPLLoans" localSheetId="10">#REF!</definedName>
    <definedName name="BSPLLoans">#REF!</definedName>
    <definedName name="BSPLOth" localSheetId="11">#REF!</definedName>
    <definedName name="BSPLOth" localSheetId="10">#REF!</definedName>
    <definedName name="BSPLOth">#REF!</definedName>
    <definedName name="BSPLR" localSheetId="11">#REF!</definedName>
    <definedName name="BSPLR" localSheetId="10">#REF!</definedName>
    <definedName name="BSPLR">#REF!</definedName>
    <definedName name="BSPLRE" localSheetId="11">#REF!</definedName>
    <definedName name="BSPLRE" localSheetId="10">#REF!</definedName>
    <definedName name="BSPLRE">#REF!</definedName>
    <definedName name="BSPLTaxes" localSheetId="11">#REF!</definedName>
    <definedName name="BSPLTaxes" localSheetId="10">#REF!</definedName>
    <definedName name="BSPLTaxes">#REF!</definedName>
    <definedName name="BSPOth" localSheetId="11">#REF!</definedName>
    <definedName name="BSPOth" localSheetId="10">#REF!</definedName>
    <definedName name="BSPOth">#REF!</definedName>
    <definedName name="BSPProp" localSheetId="11">#REF!</definedName>
    <definedName name="BSPProp" localSheetId="10">#REF!</definedName>
    <definedName name="BSPProp">#REF!</definedName>
    <definedName name="BSPRE" localSheetId="11">#REF!</definedName>
    <definedName name="BSPRE" localSheetId="10">#REF!</definedName>
    <definedName name="BSPRE">#REF!</definedName>
    <definedName name="BSPRetire" localSheetId="11">#REF!</definedName>
    <definedName name="BSPRetire" localSheetId="10">#REF!</definedName>
    <definedName name="BSPRetire">#REF!</definedName>
    <definedName name="BSPStocks" localSheetId="11">#REF!</definedName>
    <definedName name="BSPStocks" localSheetId="10">#REF!</definedName>
    <definedName name="BSPStocks">#REF!</definedName>
    <definedName name="BSPVeh" localSheetId="11">#REF!</definedName>
    <definedName name="BSPVeh" localSheetId="10">#REF!</definedName>
    <definedName name="BSPVeh">#REF!</definedName>
    <definedName name="BusName">'Gen Info'!$K$5</definedName>
    <definedName name="CABusLoanEntry">'Asset Entry'!$A$29</definedName>
    <definedName name="CABusLoansRecTot">'Asset Entry'!$B$33</definedName>
    <definedName name="CACashEntry">'Asset Entry'!$A$8</definedName>
    <definedName name="CACashTot">'Asset Entry'!$B$12</definedName>
    <definedName name="CADueEntry">'Asset Entry'!$A$15</definedName>
    <definedName name="CADueProcTot">'Asset Entry'!$B$19</definedName>
    <definedName name="CAOthAREntry">'Asset Entry'!$A$22</definedName>
    <definedName name="CAOtherEntry">'Asset Entry'!$A$43</definedName>
    <definedName name="CAOtherTot">'Asset Entry'!$B$47</definedName>
    <definedName name="CAOthRecTot">'Asset Entry'!$B$26</definedName>
    <definedName name="CAPrepaidEntry">'Asset Entry'!$A$36</definedName>
    <definedName name="CAPrepaids">'Asset Entry'!$A$35:$B$39</definedName>
    <definedName name="CAPrepaidTot">'Asset Entry'!$B$40</definedName>
    <definedName name="CashChoice" localSheetId="11">#REF!</definedName>
    <definedName name="CashChoice" localSheetId="10">#REF!</definedName>
    <definedName name="CashChoice">#REF!</definedName>
    <definedName name="CashDetail">'Asset Entry'!$B$12</definedName>
    <definedName name="CashLink" localSheetId="11">INDIRECT(#REF!)</definedName>
    <definedName name="CashLink" localSheetId="10">INDIRECT(#REF!)</definedName>
    <definedName name="CashLink">INDIRECT(#REF!)</definedName>
    <definedName name="CashLinkChoice">INDIRECT('Gen Info'!$K$20)</definedName>
    <definedName name="City">'Gen Info'!$K$7</definedName>
    <definedName name="CLAPEntry">'Liability Entry'!$A$8</definedName>
    <definedName name="CLAPTot">'Liability Entry'!$B$12</definedName>
    <definedName name="CLBizAcrIntEntry">'Liability Entry'!$A$22</definedName>
    <definedName name="CLBizAcrIntTot">'Liability Entry'!$B$26</definedName>
    <definedName name="CLBizCCEntry">'Liability Entry'!$A$15</definedName>
    <definedName name="CLBizCCTot">'Liability Entry'!$B$19</definedName>
    <definedName name="CLOthCurEntry">'Liability Entry'!$A$36</definedName>
    <definedName name="CLOthCurTot">'Liability Entry'!$B$40</definedName>
    <definedName name="CLTaxesEntry">'Liability Entry'!$A$29</definedName>
    <definedName name="CLTaxesTot">'Liability Entry'!$B$33</definedName>
    <definedName name="_xlnm.Criteria" localSheetId="12">'Final Income and Cash Flows'!$F$100</definedName>
    <definedName name="CumulativeCashApr">'Cash Flows'!$I$210</definedName>
    <definedName name="CumulativeCashAug">'Cash Flows'!$M$210</definedName>
    <definedName name="CumulativeCashDec">'Cash Flows'!$Q$210</definedName>
    <definedName name="CumulativeCashFeb">'Cash Flows'!$G$210</definedName>
    <definedName name="CumulativeCashJan">'Cash Flows'!$F$210</definedName>
    <definedName name="CumulativeCashJuly">'Cash Flows'!$L$210</definedName>
    <definedName name="CumulativeCashJune">'Cash Flows'!$K$210</definedName>
    <definedName name="CumulativeCashMar">'Cash Flows'!$H$210</definedName>
    <definedName name="CumulativeCashMay">'Cash Flows'!$J$210</definedName>
    <definedName name="CumulativeCashNov">'Cash Flows'!$P$210</definedName>
    <definedName name="CumulativeCashOct">'Cash Flows'!$O$210</definedName>
    <definedName name="CumulativeCashSept">'Cash Flows'!$N$210</definedName>
    <definedName name="CurAssetsDet">'Asset Entry'!$A$7:$B$11</definedName>
    <definedName name="CurPortLT">'Loan Entry'!$AD$1</definedName>
    <definedName name="CurPortLTProjected">'Loan Entry'!$AH$1</definedName>
    <definedName name="CurrentAssetsDetail">'Asset Entry'!$A$5:$B$47</definedName>
    <definedName name="DashboardChoiceExpGraphChoice">Inputs!$E$54</definedName>
    <definedName name="DashboardChoiceIncExpGraph">Inputs!$E$52</definedName>
    <definedName name="DashboardChoiceIncExpGraphChoice">Inputs!$E$53</definedName>
    <definedName name="DMNetIncome">'Final Income and Cash Flows'!$E$144:$F$144</definedName>
    <definedName name="FishingNetIncome">'Final Income and Cash Flows'!$E$76:$F$76</definedName>
    <definedName name="GenDate">'Gen Info'!$K$2</definedName>
    <definedName name="GenInfoBSDate">'Gen Info'!$K$11</definedName>
    <definedName name="Header_Row" localSheetId="11">ROW(#REF!)</definedName>
    <definedName name="Header_Row" localSheetId="10">ROW(#REF!)</definedName>
    <definedName name="Header_Row">ROW(#REF!)</definedName>
    <definedName name="HowSell">'Gen Info'!$K$17</definedName>
    <definedName name="HowSellText">Inputs!$A$18:$A$20</definedName>
    <definedName name="InvCropsEntry">Inventory!$D$15</definedName>
    <definedName name="InvLivestockEntry">Inventory!$E$26</definedName>
    <definedName name="InvOtherEntry">Inventory!$D$37</definedName>
    <definedName name="InvProjCropsEntry" localSheetId="11">'Projected Inventory'!$D$13</definedName>
    <definedName name="InvProjCropsEntryProj">'Projected Inventory'!$D$13</definedName>
    <definedName name="InvProjLivestockEntry" localSheetId="11">'Projected Inventory'!$E$24</definedName>
    <definedName name="InvProjLivestockEntryProj">'Projected Inventory'!$E$24</definedName>
    <definedName name="InvProjOthEntryProj">'Projected Inventory'!$D$35</definedName>
    <definedName name="InvProjOtherEntry" localSheetId="11">'Projected Inventory'!$D$35</definedName>
    <definedName name="InvTCropsEntry">Inventory!$A$8</definedName>
    <definedName name="InvTLivestockEntry">Inventory!$A$19</definedName>
    <definedName name="InvTOtherEntry">Inventory!$A$30</definedName>
    <definedName name="InvTProjCropsEntry" localSheetId="11">'Projected Inventory'!$A$6</definedName>
    <definedName name="InvTProjLivestockEntry" localSheetId="11">'Projected Inventory'!$A$17</definedName>
    <definedName name="InvTProjOtherEntry" localSheetId="11">'Projected Inventory'!$A$28</definedName>
    <definedName name="Last_Row" localSheetId="11">IF('Projected Inventory'!Values_Entered,'Projected Inventory'!Header_Row+'Projected Inventory'!Number_of_Payments,'Projected Inventory'!Header_Row)</definedName>
    <definedName name="Last_Row" localSheetId="10">IF(ProposedLoansWkst!Values_Entered,ProposedLoansWkst!Header_Row+ProposedLoansWkst!Number_of_Payments,ProposedLoansWkst!Header_Row)</definedName>
    <definedName name="Last_Row">IF(Values_Entered,Header_Row+Number_of_Payments,Header_Row)</definedName>
    <definedName name="LoanAccrInt">'Loan Entry'!$Z$3</definedName>
    <definedName name="LoanAccrIntPers">'Loan Entry'!$Z$76</definedName>
    <definedName name="LoanAccrIntProj">'Loan Entry'!$AA$3</definedName>
    <definedName name="LoanAccrIntProjPers">'Loan Entry'!$AA$76</definedName>
    <definedName name="LoanBuildEntry">'Loan Entry'!$AE$51</definedName>
    <definedName name="LoanBuildEntryProjected">'Loan Entry'!$AI$51</definedName>
    <definedName name="LoanBVehEntry">'Loan Entry'!$AE$35</definedName>
    <definedName name="LoanBVehEntryProjected">'Loan Entry'!$AI$35</definedName>
    <definedName name="LoanCurrent">'Loan Entry'!$F$11</definedName>
    <definedName name="LoanEquipmentEntry">'Loan Entry'!$AE$19</definedName>
    <definedName name="LoanEquipmentEntryProjected">'Loan Entry'!$AI$19</definedName>
    <definedName name="LoanFreq">Inputs!$A$4:$A$7</definedName>
    <definedName name="LoanLivestockEntry">'Loan Entry'!$AE$27</definedName>
    <definedName name="LoanLivestockEntryProjected">'Loan Entry'!$AI$27</definedName>
    <definedName name="LoanOthBizEntry">'Loan Entry'!$AE$43</definedName>
    <definedName name="LoanOthBizEntryProjected">'Loan Entry'!$AI$43</definedName>
    <definedName name="LoanPersEntry">'Loan Entry'!$AE$67</definedName>
    <definedName name="LoanPersEntryCurrent">'Loan Entry'!$AD$67</definedName>
    <definedName name="LoanPersEntryCurrentProjected">'Loan Entry'!$AH$67</definedName>
    <definedName name="LoanPersEntryProjected">'Loan Entry'!$AI$67</definedName>
    <definedName name="LoanPersREEntry">'Loan Entry'!$AE$75</definedName>
    <definedName name="LoanPersREEntryCurrent">'Loan Entry'!$AD$75</definedName>
    <definedName name="LoanPersREEntryCurrentProjected">'Loan Entry'!$AH$75</definedName>
    <definedName name="LoanPersREEntryProjected">'Loan Entry'!$AI$75</definedName>
    <definedName name="LoanProjSumAgBusAccrInt">ProposedLoans!$AJ$21</definedName>
    <definedName name="LoanProjSumAgBusCurr">ProposedLoans!$AG$21</definedName>
    <definedName name="LoanProjSumAgBusPayment">ProposedLoans!$AI$21</definedName>
    <definedName name="LoanProjSumAgBusRem">ProposedLoans!$AH$21</definedName>
    <definedName name="LoanProjSumDMBusAccrInt">ProposedLoans!$AJ$22</definedName>
    <definedName name="LoanProjSumDMBusCurr">ProposedLoans!$AG$22</definedName>
    <definedName name="LoanProjSumDMBusPayment">ProposedLoans!$AI$22</definedName>
    <definedName name="LoanProjSumDMBusRem">ProposedLoans!$AH$22</definedName>
    <definedName name="LoanProjSumDMOpAccrInt">ProposedLoans!$AJ$23</definedName>
    <definedName name="LoanProjSumDMOpCurr">ProposedLoans!$AG$23</definedName>
    <definedName name="LoanProjSumDMOpPayment">ProposedLoans!$AI$23</definedName>
    <definedName name="LoanProjSumDMOpRem">ProposedLoans!$AH$23</definedName>
    <definedName name="LoanProjSumOpAgAccrInt">ProposedLoans!$AJ$20</definedName>
    <definedName name="LoanProjSumOpAgCurr">ProposedLoans!$AG$20</definedName>
    <definedName name="LoanProjSumOpAgPayment">ProposedLoans!$AI$20</definedName>
    <definedName name="LoanProjSumOpAgRem">ProposedLoans!$AH$20</definedName>
    <definedName name="LoanProjSumPersAccrInt">ProposedLoans!$AJ$24</definedName>
    <definedName name="LoanProjSumPersCurr">ProposedLoans!$AG$24</definedName>
    <definedName name="LoanProjSumPersPayment">ProposedLoans!$AI$24</definedName>
    <definedName name="LoanProjSumPersREAccrInt">ProposedLoans!$AJ$25</definedName>
    <definedName name="LoanProjSumPersRECurr">ProposedLoans!$AG$25</definedName>
    <definedName name="LoanProjSumPersRem">ProposedLoans!$AH$24</definedName>
    <definedName name="LoanProjSumPersREPayment">ProposedLoans!$AI$25</definedName>
    <definedName name="LoanProjSumPersRERem">ProposedLoans!$AH$25</definedName>
    <definedName name="LoanProposedEntry">ProposedLoans!$B$6</definedName>
    <definedName name="LoanREEntry">'Loan Entry'!$AE$59</definedName>
    <definedName name="LoanREEntryProjected">'Loan Entry'!$AI$59</definedName>
    <definedName name="LoanTBuildEntry">'Loan Entry'!$B$47</definedName>
    <definedName name="LoanTBVeh">'Loan Entry'!$B$31</definedName>
    <definedName name="LoanTCurrEntry">'Loan Entry'!$B$5:$B$10</definedName>
    <definedName name="LoanTEquipEntry">'Loan Entry'!$B$15:$B$18</definedName>
    <definedName name="LoanTEquipment">'Loan Entry'!$B$15:$B$18</definedName>
    <definedName name="LoanTEquipmentEntry">'Loan Entry'!$B$15</definedName>
    <definedName name="LoanTLivestockEntry">'Loan Entry'!$B$23</definedName>
    <definedName name="LoanTOthBiz">'Loan Entry'!$B$39</definedName>
    <definedName name="LoanTPerREEntry">'Loan Entry'!$B$71</definedName>
    <definedName name="LoanTPersEntry">'Loan Entry'!$B$63</definedName>
    <definedName name="LoanTREEntry">'Loan Entry'!$B$55</definedName>
    <definedName name="MCFBuildBSValInput">'Cash Flows'!$F$88</definedName>
    <definedName name="MCFBuildBSValTot">'Cash Flows'!$E$88</definedName>
    <definedName name="MCFCapPurchBuildingsInput">'Cash Flows'!$F$57</definedName>
    <definedName name="MCFCapPurchBuildingsTot">'Cash Flows'!$E$57</definedName>
    <definedName name="MCFCapPurchEquipInput">'Cash Flows'!$F$55</definedName>
    <definedName name="MCFCapPurchEquipTot">'Cash Flows'!$E$55</definedName>
    <definedName name="MCFCapPurchLivestockInput">'Cash Flows'!$F$56</definedName>
    <definedName name="MCFCapPurchLivestockTot">'Cash Flows'!$E$56</definedName>
    <definedName name="MCFCropInsIncInput">'Cash Flows'!$F$16</definedName>
    <definedName name="MCFCropInsIncTot">'Cash Flows'!$E$16</definedName>
    <definedName name="MCFCullIncomeInput">'Cash Flows'!$F$14</definedName>
    <definedName name="MCFCullIncomeTot">'Cash Flows'!$E$14</definedName>
    <definedName name="MCFDMCapPurchInput">'Cash Flows'!$F$127</definedName>
    <definedName name="MCFDMCapPurchTot">'Cash Flows'!$E$127</definedName>
    <definedName name="MCFDMEquipBSValInput">'Cash Flows'!$F$154</definedName>
    <definedName name="MCFDMEquipBSValTot">'Cash Flows'!$E$154</definedName>
    <definedName name="MCFDMEquipGainInput">'Cash Flows'!$F$155</definedName>
    <definedName name="MCFDMEquipGainTot">'Cash Flows'!$E$155</definedName>
    <definedName name="MCFDMEquipSaleInput">'Cash Flows'!$F$109</definedName>
    <definedName name="MCFDMEquipSaleTot">'Cash Flows'!$E$109</definedName>
    <definedName name="MCFDMEtcInput">'Cash Flows'!$F$108</definedName>
    <definedName name="MCFDMEtcTot">'Cash Flows'!$E$108</definedName>
    <definedName name="MCFDMFCDeprInput">'Cash Flows'!$F$153</definedName>
    <definedName name="MCFDMFCDeprTot">'Cash Flows'!$E$153</definedName>
    <definedName name="MCFDMFCIntInput">'Cash Flows'!$F$132</definedName>
    <definedName name="MCFDMFCIntTot">'Cash Flows'!$E$132</definedName>
    <definedName name="MCFDMFCMiscInput">'Cash Flows'!$F$133</definedName>
    <definedName name="MCFDMFCMiscTot">'Cash Flows'!$E$133</definedName>
    <definedName name="MCFDMFCOthInput">'Cash Flows'!$F$134</definedName>
    <definedName name="MCFDMFCOthTot">'Cash Flows'!$E$134</definedName>
    <definedName name="MCFDMFCPermitsInput">'Cash Flows'!$F$130</definedName>
    <definedName name="MCFDMFCPermitTot">'Cash Flows'!$E$130</definedName>
    <definedName name="MCFDMFCPromoInput">'Cash Flows'!$F$129</definedName>
    <definedName name="MCFDMFCPromoTot">'Cash Flows'!$E$129</definedName>
    <definedName name="MCFDMFCRentInput">'Cash Flows'!$F$128</definedName>
    <definedName name="MCFDMFCRentTot">'Cash Flows'!$E$128</definedName>
    <definedName name="MCFDMFCVehInput">'Cash Flows'!$F$131</definedName>
    <definedName name="MCFDMFCVehTot">'Cash Flows'!$E$131</definedName>
    <definedName name="MCFDMINVChangeInput">'Cash Flows'!$F$152</definedName>
    <definedName name="MCFDMINVChangeTot">'Cash Flows'!$E$152</definedName>
    <definedName name="MCFDMNewCredInput">'Cash Flows'!$F$143</definedName>
    <definedName name="MCFDMNewCredTot">'Cash Flows'!$E$143</definedName>
    <definedName name="MCFDMNewDMOpInput">'Cash Flows'!$F$144</definedName>
    <definedName name="MCFDMNewDMOpTot">'Cash Flows'!$E$144</definedName>
    <definedName name="MCFDMOthInput">'Cash Flows'!$F$110</definedName>
    <definedName name="MCFDMOthTot">'Cash Flows'!$E$110</definedName>
    <definedName name="MCFDMPrinInput">'Cash Flows'!$F$141</definedName>
    <definedName name="MCFDMPrinOpInput">'Cash Flows'!$F$142</definedName>
    <definedName name="MCFDMPrinOpTot">'Cash Flows'!$E$142</definedName>
    <definedName name="MCFDMPrinTot">'Cash Flows'!$E$141</definedName>
    <definedName name="MCFDMSalesCSAInput">'Cash Flows'!$F$105</definedName>
    <definedName name="MCFDMSalesCSATot">'Cash Flows'!$E$105</definedName>
    <definedName name="MCFDMSalesFarmMktInput">'Cash Flows'!$F$104</definedName>
    <definedName name="MCFDMSalesFarmMktTot">'Cash Flows'!$E$104</definedName>
    <definedName name="MCFDMSalesFarmstandInput">'Cash Flows'!$F$106</definedName>
    <definedName name="MCFDMSalesFarmstandTot">'Cash Flows'!$E$106</definedName>
    <definedName name="MCFDMSalesOtherInput">'Cash Flows'!$F$107</definedName>
    <definedName name="MCFDMSalesOtherTot">'Cash Flows'!$E$107</definedName>
    <definedName name="MCFDMValueLaborInput">'Cash Flows'!$F$151</definedName>
    <definedName name="MCFDMValueLaborTot">'Cash Flows'!$E$151</definedName>
    <definedName name="MCFDMVCColdInput">'Cash Flows'!$F$121</definedName>
    <definedName name="MCFDMVCColdTot">'Cash Flows'!$E$121</definedName>
    <definedName name="MCFDMVCInsInput">'Cash Flows'!$F$115</definedName>
    <definedName name="MCFDMVCInsTot">'Cash Flows'!$E$115</definedName>
    <definedName name="MCFDMVCLaborInput">'Cash Flows'!$F$114</definedName>
    <definedName name="MCFDMVCLaborTot">'Cash Flows'!$E$114</definedName>
    <definedName name="MCFDMVCMktSuppInput">'Cash Flows'!$F$118</definedName>
    <definedName name="MCFDMVCMktSuppTot">'Cash Flows'!$E$118</definedName>
    <definedName name="MCFDMVCOthInput">'Cash Flows'!$F$123</definedName>
    <definedName name="MCFDMVCOthTot">'Cash Flows'!$E$123</definedName>
    <definedName name="MCFDMVCPackInput">'Cash Flows'!$F$116</definedName>
    <definedName name="MCFDMVCPackTot">'Cash Flows'!$E$116</definedName>
    <definedName name="MCFDMVCResaleInput">'Cash Flows'!$F$122</definedName>
    <definedName name="MCFDMVCResaleTot">'Cash Flows'!$E$122</definedName>
    <definedName name="MCFDMVCShippingInput">'Cash Flows'!$F$119</definedName>
    <definedName name="MCFDMVCShippingTot">'Cash Flows'!$E$119</definedName>
    <definedName name="MCFDMVCSuppliedInput">'Cash Flows'!$F$117</definedName>
    <definedName name="MCFDMVCSuppliesTot">'Cash Flows'!$E$117</definedName>
    <definedName name="MCFDMVCUtilInput">'Cash Flows'!$F$120</definedName>
    <definedName name="MCFDMVCUtilTot">'Cash Flows'!$E$120</definedName>
    <definedName name="MCFEquipBSValInput">'Cash Flows'!$F$86</definedName>
    <definedName name="MCFEquipBSValTot">'Cash Flows'!$E$86</definedName>
    <definedName name="MCFFCDeprBuildInput">'Cash Flows'!$F$85</definedName>
    <definedName name="MCFFCDeprBuildTot">'Cash Flows'!$E$85</definedName>
    <definedName name="MCFFCDeprEquipInput">'Cash Flows'!$F$83</definedName>
    <definedName name="MCFFCDeprEquipTot">'Cash Flows'!$E$83</definedName>
    <definedName name="MCFFCDeprLivestockInput">'Cash Flows'!$F$84</definedName>
    <definedName name="MCFFCDeprLivestockTot">'Cash Flows'!$E$84</definedName>
    <definedName name="MCFFCFarmInsInput">'Cash Flows'!$F$62</definedName>
    <definedName name="MCFFCFarmInsTot">'Cash Flows'!$E$62</definedName>
    <definedName name="MCFFCInterestInput">'Cash Flows'!$F$61</definedName>
    <definedName name="MCFFCInterestTot">'Cash Flows'!$E$61</definedName>
    <definedName name="MCFFCLandRentInput">'Cash Flows'!$F$58</definedName>
    <definedName name="MCFFCLandRentTot">'Cash Flows'!$E$58</definedName>
    <definedName name="MCFFCMachLeaseInput">'Cash Flows'!$F$59</definedName>
    <definedName name="MCFFCMachLeaseTot">'Cash Flows'!$E$59</definedName>
    <definedName name="MCFFCOthInput">'Cash Flows'!$F$65</definedName>
    <definedName name="MCFFCOthTot">'Cash Flows'!$E$65</definedName>
    <definedName name="MCFFCPermitInput">'Cash Flows'!$F$60</definedName>
    <definedName name="MCFFCPermitTot">'Cash Flows'!$E$60</definedName>
    <definedName name="MCFFCProfInput">'Cash Flows'!$F$63</definedName>
    <definedName name="MCFFCProfTot">'Cash Flows'!$E$63</definedName>
    <definedName name="MCFFCPropTaxesInput">'Cash Flows'!$F$64</definedName>
    <definedName name="MCFFCPropTaxTot">'Cash Flows'!$E$64</definedName>
    <definedName name="MCFGainBuildInput">'Cash Flows'!$F$91</definedName>
    <definedName name="MCFGainBuildTot">'Cash Flows'!$E$91</definedName>
    <definedName name="MCFGainEquipInput">'Cash Flows'!$F$89</definedName>
    <definedName name="MCFGainEquipTot">'Cash Flows'!$E$89</definedName>
    <definedName name="MCFGainPurchLivestockInput">'Cash Flows'!$F$90</definedName>
    <definedName name="MCFGainPurchLivestockTot">'Cash Flows'!$E$90</definedName>
    <definedName name="MCFGovPayInput">'Cash Flows'!$F$15</definedName>
    <definedName name="MCFGovPayTot">'Cash Flows'!$E$15</definedName>
    <definedName name="MCFHedgingDepInput">'Cash Flows'!#REF!</definedName>
    <definedName name="MCFHedgingDepTot">'Cash Flows'!#REF!</definedName>
    <definedName name="MCFHedgingInput">'Cash Flows'!#REF!</definedName>
    <definedName name="MCFHedgingTot">'Cash Flows'!#REF!</definedName>
    <definedName name="MCFIncCustomWorkInput">'Cash Flows'!$F$20</definedName>
    <definedName name="MCFIncCustomWorkTot">'Cash Flows'!$E$20</definedName>
    <definedName name="MCFINVChangeInput">'Cash Flows'!$F$93</definedName>
    <definedName name="MCFINVChangeTot">'Cash Flows'!$E$93</definedName>
    <definedName name="MCFINVCropChangeInput">'Cash Flows'!$F$92</definedName>
    <definedName name="MCFINVCropChangeTot">'Cash Flows'!$E$92</definedName>
    <definedName name="MCFLivestockBSValInput">'Cash Flows'!$F$87</definedName>
    <definedName name="MCFLivestockBSValTot">'Cash Flows'!$E$87</definedName>
    <definedName name="MCFNewCredInput">'Cash Flows'!$F$74</definedName>
    <definedName name="MCFNewCredTot">'Cash Flows'!$E$74</definedName>
    <definedName name="MCFNewOpInput">'Cash Flows'!$F$75</definedName>
    <definedName name="MCFNewOpTot">'Cash Flows'!$E$75</definedName>
    <definedName name="MCFOthIncomeInput">'Cash Flows'!$F$21</definedName>
    <definedName name="MCFOthTot">'Cash Flows'!$E$21</definedName>
    <definedName name="MCFPatronageInput">'Cash Flows'!$F$17</definedName>
    <definedName name="MCFPatronageTot">'Cash Flows'!$E$17</definedName>
    <definedName name="MCFPChildCareInput">'Cash Flows'!$F$182</definedName>
    <definedName name="MCFPChildCareTot">'Cash Flows'!$E$182</definedName>
    <definedName name="MCFPChildSupportInput">'Cash Flows'!$F$183</definedName>
    <definedName name="MCFPChildSupTot">'Cash Flows'!$E$183</definedName>
    <definedName name="MCFPClothingInput">'Cash Flows'!$F$180</definedName>
    <definedName name="MCFPClothingTot">'Cash Flows'!$E$180</definedName>
    <definedName name="MCFPDisInsInput">'Cash Flows'!$F$177</definedName>
    <definedName name="MCFPDisInsTot">'Cash Flows'!$E$177</definedName>
    <definedName name="MCFPEducationInput">'Cash Flows'!$F$184</definedName>
    <definedName name="MCFPEducationTot">'Cash Flows'!$E$184</definedName>
    <definedName name="MCFPFoodInput">'Cash Flows'!$F$173</definedName>
    <definedName name="MCFPFoodTot">'Cash Flows'!$E$173</definedName>
    <definedName name="MCFPGiftsInput">'Cash Flows'!$F$178</definedName>
    <definedName name="MCFPGiftsTot">'Cash Flows'!$E$178</definedName>
    <definedName name="MCFPIncPersLoansInput">'Cash Flows'!$F$194</definedName>
    <definedName name="MCFPIncPersLoansInputLoan">'Cash Flows'!$F$168</definedName>
    <definedName name="MCFPIncPersLoansTot">'Cash Flows'!$E$194</definedName>
    <definedName name="MCFPIncPersLoansTotLoan">'Cash Flows'!$E$168</definedName>
    <definedName name="MCFPIncPersREEInput">'Cash Flows'!$F$193</definedName>
    <definedName name="MCFPIncPersREEInputLoan">'Cash Flows'!$F$167</definedName>
    <definedName name="MCFPIncPersREETot">'Cash Flows'!$E$193</definedName>
    <definedName name="MCFPIncPersREETotLoan">'Cash Flows'!$E$167</definedName>
    <definedName name="MCFPIncTaxInput">'Cash Flows'!$F$192</definedName>
    <definedName name="MCFPIncTaxTot">'Cash Flows'!$E$192</definedName>
    <definedName name="MCFPInsInput">'Cash Flows'!$F$175</definedName>
    <definedName name="MCFPInsTot">'Cash Flows'!$E$175</definedName>
    <definedName name="MCFPIntIncInput">'Cash Flows'!$F$165</definedName>
    <definedName name="MCFPIntIncTot">'Cash Flows'!$E$165</definedName>
    <definedName name="MCFPInvestInput">'Cash Flows'!$F$166</definedName>
    <definedName name="MCFPInvestTot">'Cash Flows'!$E$166</definedName>
    <definedName name="MCFPLifeInsInput">'Cash Flows'!$F$176</definedName>
    <definedName name="MCFPLifeInsTot">'Cash Flows'!$E$176</definedName>
    <definedName name="MCFPLoanPayInput">'Cash Flows'!$F$188</definedName>
    <definedName name="MCFPLoanPayTot">'Cash Flows'!$E$188</definedName>
    <definedName name="MCFPMedicalInput">'Cash Flows'!$F$174</definedName>
    <definedName name="MCFPMedicalTot">'Cash Flows'!$E$174</definedName>
    <definedName name="MCFPMortInput">'Cash Flows'!$F$189</definedName>
    <definedName name="MCFPMortTot">'Cash Flows'!$E$189</definedName>
    <definedName name="MCFPOthIncTot">'Cash Flows'!$E$169</definedName>
    <definedName name="MCFPOthInput">'Cash Flows'!$F$169</definedName>
    <definedName name="MCFPOthPayInput">'Cash Flows'!$F$199</definedName>
    <definedName name="MCFPOthPayTot">'Cash Flows'!$E$199</definedName>
    <definedName name="MCFPOthPurchInput">'Cash Flows'!$F$198</definedName>
    <definedName name="MCFPOthPurchTot">'Cash Flows'!$E$198</definedName>
    <definedName name="MCFPPersCapPurchInput">'Cash Flows'!$F$197</definedName>
    <definedName name="MCFPPersCapPurchTot">'Cash Flows'!$E$197</definedName>
    <definedName name="MCFPPersCareInput">'Cash Flows'!$F$181</definedName>
    <definedName name="MCFPPersCareTot">'Cash Flows'!$E$181</definedName>
    <definedName name="MCFPPersRetirementInput">'Cash Flows'!$F$195</definedName>
    <definedName name="MCFPPersRetirementTot">'Cash Flows'!$E$195</definedName>
    <definedName name="MCFPPersVehPurchInput">'Cash Flows'!$F$196</definedName>
    <definedName name="MCFPPersVehPurchTot">'Cash Flows'!$E$196</definedName>
    <definedName name="MCFPPropInsInput">'Cash Flows'!$F$190</definedName>
    <definedName name="MCFPPropInsTot">'Cash Flows'!$E$190</definedName>
    <definedName name="MCFPRecInput">'Cash Flows'!$F$185</definedName>
    <definedName name="MCFPRecTot">'Cash Flows'!$E$185</definedName>
    <definedName name="MCFPRETaxesInput">'Cash Flows'!$F$191</definedName>
    <definedName name="MCFPRETaxesTot">'Cash Flows'!$E$191</definedName>
    <definedName name="MCFPrinInput">'Cash Flows'!$F$72</definedName>
    <definedName name="MCFPrinOpInput">'Cash Flows'!$F$73</definedName>
    <definedName name="MCFPrinOpTot">'Cash Flows'!$E$73</definedName>
    <definedName name="MCFPrinTot">'Cash Flows'!$E$72</definedName>
    <definedName name="MCFPSupInput">'Cash Flows'!$F$179</definedName>
    <definedName name="MCFPSupTot">'Cash Flows'!$E$179</definedName>
    <definedName name="MCFPUtilInput">'Cash Flows'!$F$186</definedName>
    <definedName name="MCFPUtilTot">'Cash Flows'!$E$186</definedName>
    <definedName name="MCFPVehInput">'Cash Flows'!$F$187</definedName>
    <definedName name="MCFPVehTot">'Cash Flows'!$E$187</definedName>
    <definedName name="MCFPWageInput">'Cash Flows'!$F$164</definedName>
    <definedName name="MCFPWagesTot">'Cash Flows'!$E$164</definedName>
    <definedName name="MCFSalesBuildInput">'Cash Flows'!$F$19</definedName>
    <definedName name="MCFSalesBuildTot">'Cash Flows'!$E$19</definedName>
    <definedName name="MCFSalesCropsInput">'Cash Flows'!$F$10</definedName>
    <definedName name="MCFSalesCropTot">'Cash Flows'!$E$10</definedName>
    <definedName name="MCFSalesEquipInput">'Cash Flows'!$F$18</definedName>
    <definedName name="MCFSalesEquipTot">'Cash Flows'!$E$18</definedName>
    <definedName name="MCFSalesLivestockInput">'Cash Flows'!$F$12</definedName>
    <definedName name="MCFSalesLivestockProdInput">'Cash Flows'!$F$13</definedName>
    <definedName name="MCFSalesLivestockProdTot">'Cash Flows'!$E$13</definedName>
    <definedName name="MCFSalesLivestockTot">'Cash Flows'!$E$12</definedName>
    <definedName name="MCFSalesVegFruitInput">'Cash Flows'!$F$11</definedName>
    <definedName name="MCFSalesVegFruitTot">'Cash Flows'!$E$11</definedName>
    <definedName name="MCFValueLaborInput">'Cash Flows'!$F$82</definedName>
    <definedName name="MCFValueLaborTot">'Cash Flows'!$E$82</definedName>
    <definedName name="MCFVCChemInput">'Cash Flows'!$F$27</definedName>
    <definedName name="MCFVCChemTot">'Cash Flows'!$E$27</definedName>
    <definedName name="MCFVCCropConsultInput">'Cash Flows'!$F$34</definedName>
    <definedName name="MCFVCCropConsultTot">'Cash Flows'!$E$34</definedName>
    <definedName name="MCFVCCropInsInput">'Cash Flows'!$F$28</definedName>
    <definedName name="MCFVCCropInsTot">'Cash Flows'!$E$28</definedName>
    <definedName name="MCFVCCropMarketingInput">'Cash Flows'!$F$35</definedName>
    <definedName name="MCFVCCropMarketingTot">'Cash Flows'!$E$35</definedName>
    <definedName name="MCFVCCropSuppliesInput">'Cash Flows'!$F$32</definedName>
    <definedName name="MCFVCCropSuppliesTot">'Cash Flows'!$E$32</definedName>
    <definedName name="MCFVCCustomHireInput">'Cash Flows'!$F$48</definedName>
    <definedName name="MCFVCCustomHireTot">'Cash Flows'!$E$48</definedName>
    <definedName name="MCFVCDryingInput">'Cash Flows'!$F$29</definedName>
    <definedName name="MCFVCDryingTot">'Cash Flows'!$E$29</definedName>
    <definedName name="MCFVCFeederLivestockInput">'Cash Flows'!$F$36</definedName>
    <definedName name="MCFVCFeederLivestockTot">'Cash Flows'!$E$36</definedName>
    <definedName name="MCFVCFertilizerInput">'Cash Flows'!$F$26</definedName>
    <definedName name="MCFVCFertilizerTot">'Cash Flows'!$E$26</definedName>
    <definedName name="MCFVCFuelInput">'Cash Flows'!$F$45</definedName>
    <definedName name="MCFVCFuelTot">'Cash Flows'!$E$45</definedName>
    <definedName name="MCFVCGovProgInput">'Cash Flows'!$F$42</definedName>
    <definedName name="MCFVCGovProgTot">'Cash Flows'!$E$42</definedName>
    <definedName name="MCFVCGrazingInput">'Cash Flows'!$F$41</definedName>
    <definedName name="MCFVCGrazingTot">'Cash Flows'!$E$41</definedName>
    <definedName name="MCFVCGreenhouseSuppliesInput">'Cash Flows'!$F$31</definedName>
    <definedName name="MCFVCGreenhouseSuppliesTot">'Cash Flows'!$E$31</definedName>
    <definedName name="MCFVCIrrigationInput">'Cash Flows'!$F$33</definedName>
    <definedName name="MCFVCIrrigationTot">'Cash Flows'!$E$33</definedName>
    <definedName name="MCFVCLaborInput">'Cash Flows'!$F$47</definedName>
    <definedName name="MCFVCLaborTot">'Cash Flows'!$E$47</definedName>
    <definedName name="MCFVCLivestockConsultInput">'Cash Flows'!$F$43</definedName>
    <definedName name="MCFVCLivestockConsultTot">'Cash Flows'!$E$43</definedName>
    <definedName name="MCFVCLivestockInsuranceInput">'Cash Flows'!$F$40</definedName>
    <definedName name="MCFVCLivestockInsuranceTot">'Cash Flows'!$E$40</definedName>
    <definedName name="MCFVCLivestockMarketingInput">'Cash Flows'!$F$44</definedName>
    <definedName name="MCFVCLivestockMarketingTot">'Cash Flows'!$E$44</definedName>
    <definedName name="MCFVCLivestockSuppliesInput">'Cash Flows'!$F$39</definedName>
    <definedName name="MCFVCLivestockSuppliesTot">'Cash Flows'!$E$39</definedName>
    <definedName name="MCFVCOthInput">'Cash Flows'!$F$51</definedName>
    <definedName name="MCFVCOthTot">'Cash Flows'!$E$51</definedName>
    <definedName name="MCFVCPurchFeedInput">'Cash Flows'!$F$37</definedName>
    <definedName name="MCFVCPurchFeedTot">'Cash Flows'!$E$37</definedName>
    <definedName name="MCFVCRepairsInput">'Cash Flows'!$F$46</definedName>
    <definedName name="MCFVCRepairsTot">'Cash Flows'!$E$46</definedName>
    <definedName name="MCFVCSeedInput">'Cash Flows'!$F$25</definedName>
    <definedName name="MCFVCSeedTot">'Cash Flows'!$E$25</definedName>
    <definedName name="MCFVCStorageInput">'Cash Flows'!$F$30</definedName>
    <definedName name="MCFVCStorageTot">'Cash Flows'!$E$30</definedName>
    <definedName name="MCFVCTaxesInput">'Cash Flows'!$F$50</definedName>
    <definedName name="MCFVCTaxesTot">'Cash Flows'!$E$50</definedName>
    <definedName name="MCFVCUtilInput">'Cash Flows'!$F$49</definedName>
    <definedName name="MCFVCUtilTot">'Cash Flows'!$E$49</definedName>
    <definedName name="MCFVCVetInput">'Cash Flows'!$F$38</definedName>
    <definedName name="MCFVCVetTot">'Cash Flows'!$E$38</definedName>
    <definedName name="MonthlyIcon1">Inputs!$D$26</definedName>
    <definedName name="Months">Inputs!$C$4:$C$15</definedName>
    <definedName name="Name">'Gen Info'!$K$4</definedName>
    <definedName name="NCAssetsDetail">'Asset Entry'!$D$5:$E$54</definedName>
    <definedName name="NCBizVehEntry">'Asset Entry'!$D$22</definedName>
    <definedName name="NCBizVehTot">'Asset Entry'!$E$26</definedName>
    <definedName name="NCBreedLivestockEntry">'Asset Entry'!$D$15</definedName>
    <definedName name="NCBreedLivestockTot">'Asset Entry'!$E$19</definedName>
    <definedName name="NCBuildingsEntry">'Asset Entry'!$D$36</definedName>
    <definedName name="NCBuildingsTot">'Asset Entry'!$E$40</definedName>
    <definedName name="NCEquipmentEntry">'Asset Entry'!$D$8</definedName>
    <definedName name="NCEquipmentTot">'Asset Entry'!$E$12</definedName>
    <definedName name="NCLandEntry">'Asset Entry'!$D$29</definedName>
    <definedName name="NCLandTot">'Asset Entry'!$E$33</definedName>
    <definedName name="NCOthBizEntry">'Asset Entry'!$D$50</definedName>
    <definedName name="NCOthBizTot">'Asset Entry'!$E$54</definedName>
    <definedName name="NCOthLiabEntry">'Liability Entry'!$A$43</definedName>
    <definedName name="NCOthLiabTot">'Liability Entry'!$B$47</definedName>
    <definedName name="NCREEntry">'Asset Entry'!$D$43</definedName>
    <definedName name="NCRETot">'Asset Entry'!$E$47</definedName>
    <definedName name="NetIncomeAgYear1">'Final Income and Cash Flows'!$C$76</definedName>
    <definedName name="NetIncomeAgYear2">'Final Income and Cash Flows'!$D$76</definedName>
    <definedName name="NetIncomeDMYear1">'Final Income and Cash Flows'!$C$144</definedName>
    <definedName name="NetIncomeDMYear2">'Final Income and Cash Flows'!$D$144</definedName>
    <definedName name="Number_of_Payments" localSheetId="11">MATCH(0.01,End_Bal,-1)+1</definedName>
    <definedName name="Number_of_Payments" localSheetId="10">MATCH(0.01,End_Bal,-1)+1</definedName>
    <definedName name="Number_of_Payments">MATCH(0.01,End_Bal,-1)+1</definedName>
    <definedName name="NumberOperators">Inputs!$A$37:$A$42</definedName>
    <definedName name="NumberOperatorsValue">'Gen Info'!$K$15</definedName>
    <definedName name="Payment_Date" localSheetId="11">DATE(YEAR(Loan_Start),MONTH([0]!Loan_Start)+Payment_Number,DAY([0]!Loan_Start))</definedName>
    <definedName name="Payment_Date" localSheetId="10">DATE(YEAR(Loan_Start),MONTH([0]!Loan_Start)+Payment_Number,DAY([0]!Loan_Start))</definedName>
    <definedName name="Payment_Date">DATE(YEAR(Loan_Start),MONTH([0]!Loan_Start)+Payment_Number,DAY([0]!Loan_Start))</definedName>
    <definedName name="PersCashEntry">'Asset Entry'!$G$8</definedName>
    <definedName name="PersCashTot">'Asset Entry'!$H$12</definedName>
    <definedName name="PersLAPEntry">'Liability Entry'!$D$8</definedName>
    <definedName name="PersLAPTot">'Liability Entry'!$E$12</definedName>
    <definedName name="PersLCCEntry">'Liability Entry'!$D$15</definedName>
    <definedName name="PersLCCTot">'Liability Entry'!$E$19</definedName>
    <definedName name="PersLifeInsEntry">'Asset Entry'!$G$43</definedName>
    <definedName name="PersLifeInsTot">'Asset Entry'!$H$47</definedName>
    <definedName name="PersLoanEntry">'Asset Entry'!$G$22</definedName>
    <definedName name="PersLoanRTot">'Asset Entry'!$H$26</definedName>
    <definedName name="PersLOthEntry">'Liability Entry'!$D$29</definedName>
    <definedName name="PersLOthTot">'Liability Entry'!$E$33</definedName>
    <definedName name="PersLTaxesEntry">'Liability Entry'!$D$22</definedName>
    <definedName name="PersLTaxesTot">'Liability Entry'!$E$26</definedName>
    <definedName name="PersOthEntry">'Asset Entry'!$G$64</definedName>
    <definedName name="PersOthTot">'Asset Entry'!$H$68</definedName>
    <definedName name="PersPropEntry">'Asset Entry'!$G$29</definedName>
    <definedName name="PersPropTot">'Asset Entry'!$H$33</definedName>
    <definedName name="PersREEntry">'Asset Entry'!$G$50</definedName>
    <definedName name="PersRetireEntry">'Asset Entry'!$G$57:$G$60</definedName>
    <definedName name="PersRetireTot">'Asset Entry'!$H$61</definedName>
    <definedName name="PersRETot">'Asset Entry'!$H$54</definedName>
    <definedName name="PersStockEntry">'Asset Entry'!$G$15</definedName>
    <definedName name="PersStockTot">'Asset Entry'!$H$19</definedName>
    <definedName name="PersVehEntry">'Asset Entry'!$G$36</definedName>
    <definedName name="PersVehicleTot">'Asset Entry'!$H$40</definedName>
    <definedName name="PictGo">"Picture 3"</definedName>
    <definedName name="Picture">INDIRECT(Inputs!$D$28)</definedName>
    <definedName name="_xlnm.Print_Area" localSheetId="8">'Cash Flows'!$B$1:$Q$95,'Cash Flows'!$B$102:$Q$157,'Cash Flows'!$B$162:$Q$206,'Cash Flows'!$B$213:$Q$230</definedName>
    <definedName name="_xlnm.Print_Area" localSheetId="6">'Final Balance Sheet'!$B$1:$G$62</definedName>
    <definedName name="_xlnm.Print_Area" localSheetId="12">'Final Income and Cash Flows'!$B$10:$D$99,'Final Income and Cash Flows'!$F$11:$M$76,'Final Income and Cash Flows'!$B$101:$L$156,'Final Income and Cash Flows'!$B$160:$D$209</definedName>
    <definedName name="_xlnm.Print_Area" localSheetId="13">'Financial Scorecard'!$A$2:$I$36</definedName>
    <definedName name="_xlnm.Print_Area" localSheetId="9">ProposedLoans!$B$5:$AC$22</definedName>
    <definedName name="Print_Area_Reset" localSheetId="11">OFFSET(Full_Print,0,0,'Projected Inventory'!Last_Row)</definedName>
    <definedName name="Print_Area_Reset" localSheetId="10">OFFSET(Full_Print,0,0,ProposedLoansWkst!Last_Row)</definedName>
    <definedName name="Print_Area_Reset">OFFSET(Full_Print,0,0,Last_Row)</definedName>
    <definedName name="_xlnm.Print_Titles" localSheetId="8">'Cash Flows'!$B:$E,'Cash Flows'!$6:$6</definedName>
    <definedName name="ProjPersonal">'Gen Info'!$K$19</definedName>
    <definedName name="ProjPersText">Inputs!$K$6:$K$7</definedName>
    <definedName name="ProjTime" localSheetId="11">'Gen Info'!#REF!</definedName>
    <definedName name="ProjTime" localSheetId="10">'Gen Info'!#REF!</definedName>
    <definedName name="ProjTime">'Gen Info'!#REF!</definedName>
    <definedName name="RatiDtoEAGraph">'Financial Scorecard'!$F$20</definedName>
    <definedName name="RatiDtoEALabel">'Financial Scorecard'!$G$20</definedName>
    <definedName name="RatiDtoEAYear1">'Financial Scorecard'!$D$20</definedName>
    <definedName name="RatiDtoEAYear2">'Financial Scorecard'!$E$20</definedName>
    <definedName name="RatiNFIGraph">'Financial Scorecard'!$F$23</definedName>
    <definedName name="RatiNFILabel">'Financial Scorecard'!$G$23</definedName>
    <definedName name="RatiNFIYear1">'Financial Scorecard'!$D$23</definedName>
    <definedName name="RatiNFIYear2">'Financial Scorecard'!$E$23</definedName>
    <definedName name="RatioAssetTOProfitGraph">'Financial Scorecard'!$F$32</definedName>
    <definedName name="RatioAssetTOProfitLabel">'Financial Scorecard'!$G$32</definedName>
    <definedName name="RatioAssetTOProfitYear1">'Financial Scorecard'!$D$32</definedName>
    <definedName name="RatioAssetTOProfitYear2">'Financial Scorecard'!$E$32</definedName>
    <definedName name="RatioCurrentGraph">'Financial Scorecard'!$F$13</definedName>
    <definedName name="RatioCurrentLabel">'Financial Scorecard'!$G$13</definedName>
    <definedName name="RatioCurrentRatioCalc">'Final Balance Sheet'!$C$43</definedName>
    <definedName name="RatioCurrentYear1">'Financial Scorecard'!$D$13</definedName>
    <definedName name="RatioCurrentYear2">'Financial Scorecard'!$E$13</definedName>
    <definedName name="RatioDepExGraph">'Financial Scorecard'!$F$35</definedName>
    <definedName name="RatioDepExLabel">'Financial Scorecard'!$G$35</definedName>
    <definedName name="RatioDepExYear1">'Financial Scorecard'!$D$35</definedName>
    <definedName name="RatioDepExYear2">'Financial Scorecard'!$E$35</definedName>
    <definedName name="RatioDtoACalc">'Final Balance Sheet'!$F$43</definedName>
    <definedName name="RatioDtoAGraph">'Financial Scorecard'!$F$18</definedName>
    <definedName name="RatioDtoALabel">'Financial Scorecard'!$G$18</definedName>
    <definedName name="RatioDtoAYear1">'Financial Scorecard'!$D$18</definedName>
    <definedName name="RatioDtoAYear2">'Financial Scorecard'!$E$18</definedName>
    <definedName name="RatioDtoECalc">'Final Balance Sheet'!$F$44</definedName>
    <definedName name="RatioEtoAGraph">'Financial Scorecard'!$F$19</definedName>
    <definedName name="RatioEtoALabel">'Financial Scorecard'!$G$19</definedName>
    <definedName name="RatioEtoAYear1">'Financial Scorecard'!$D$19</definedName>
    <definedName name="RatioEtoAYear2">'Financial Scorecard'!$E$19</definedName>
    <definedName name="RatioIntExLabel">'Financial Scorecard'!$G$34</definedName>
    <definedName name="RatioIntExpGraph">'Financial Scorecard'!$F$34</definedName>
    <definedName name="RatioIntExYear1">'Financial Scorecard'!$D$34</definedName>
    <definedName name="RatioIntExYear2">'Financial Scorecard'!$E$34</definedName>
    <definedName name="RatioNetIncomeGraph">'Financial Scorecard'!$F$36</definedName>
    <definedName name="RatioNetIncomeLabel">'Financial Scorecard'!$G$36</definedName>
    <definedName name="RatioNetIncomeYear1">'Financial Scorecard'!$D$36</definedName>
    <definedName name="RatioNetIncomeYear2">'Financial Scorecard'!$E$36</definedName>
    <definedName name="RatioOpExGraph">'Financial Scorecard'!$F$33</definedName>
    <definedName name="RatioOpExLabel">'Financial Scorecard'!$G$33</definedName>
    <definedName name="RatioOpExYear1">'Financial Scorecard'!$D$33</definedName>
    <definedName name="RatioOpExYear2">'Financial Scorecard'!$E$33</definedName>
    <definedName name="RatioOpProfitGraph">'Financial Scorecard'!$F$26</definedName>
    <definedName name="RatioOpProfitLabel">'Financial Scorecard'!$G$26</definedName>
    <definedName name="RatioOpProfitYear1">'Financial Scorecard'!$D$26</definedName>
    <definedName name="RatioOpProfitYear2">'Financial Scorecard'!$E$26</definedName>
    <definedName name="RatioROAGraph">'Financial Scorecard'!$F$24</definedName>
    <definedName name="RatioROALabel">'Financial Scorecard'!$G$24</definedName>
    <definedName name="RatioROAYear1">'Financial Scorecard'!$D$24</definedName>
    <definedName name="RatioROAYear2">'Financial Scorecard'!$E$24</definedName>
    <definedName name="RatioROEGraph">'Financial Scorecard'!$F$25</definedName>
    <definedName name="RatioROELabel">'Financial Scorecard'!$G$25</definedName>
    <definedName name="RatioROEYear1">'Financial Scorecard'!$D$25</definedName>
    <definedName name="RatioROEYear2">'Financial Scorecard'!$E$25</definedName>
    <definedName name="RatioTDCProfitGraph">'Financial Scorecard'!$F$29</definedName>
    <definedName name="RatioTDCProfitLabel">'Financial Scorecard'!$G$29</definedName>
    <definedName name="RatioTDCProfitYear1">'Financial Scorecard'!$D$29</definedName>
    <definedName name="RatioTDCProfitYear2">'Financial Scorecard'!$E$29</definedName>
    <definedName name="RatioWCGraph">'Financial Scorecard'!$F$14</definedName>
    <definedName name="RatioWCGRGraph">'Financial Scorecard'!$F$15</definedName>
    <definedName name="RatioWCGRLabel">'Financial Scorecard'!$G$15</definedName>
    <definedName name="RatioWCGRYear1">'Financial Scorecard'!$D$15</definedName>
    <definedName name="RatioWCGRYear2">'Financial Scorecard'!$E$15</definedName>
    <definedName name="RatioWCLabel">'Financial Scorecard'!$G$14</definedName>
    <definedName name="RatioWCYear1">'Financial Scorecard'!$D$14</definedName>
    <definedName name="RatioWCYear2">'Financial Scorecard'!$E$14</definedName>
    <definedName name="RatioWorkingCapCalc">'Final Balance Sheet'!$C$44</definedName>
    <definedName name="ScorecardGraphNumber">'Financial Scorecard'!$M$2</definedName>
    <definedName name="ScorecardGraphs" localSheetId="11">Inputs!$A$32:$A$33</definedName>
    <definedName name="ScorecardGraphs">Inputs!$A$32:$A$33</definedName>
    <definedName name="ScorecardGraphsChoice">'Financial Scorecard'!$N$2</definedName>
    <definedName name="SliderAssetTOProfitGraph">'Financial Scorecard'!$Q$32</definedName>
    <definedName name="SliderCurrentGraph">'Financial Scorecard'!$Q$13</definedName>
    <definedName name="SliderDepExGraph">'Financial Scorecard'!$Q$35</definedName>
    <definedName name="SliderDtoAGraph">'Financial Scorecard'!$Q$18</definedName>
    <definedName name="SliderDtoEAGraph">'Financial Scorecard'!$Q$20</definedName>
    <definedName name="SliderEtoAGraph">'Financial Scorecard'!$Q$19</definedName>
    <definedName name="SliderIntExpGraph">'Financial Scorecard'!$Q$34</definedName>
    <definedName name="SliderNetIncomeGraph">'Financial Scorecard'!$Q$36</definedName>
    <definedName name="SliderNFIGraph">'Financial Scorecard'!$Q$23</definedName>
    <definedName name="SliderOpExGraph">'Financial Scorecard'!$Q$33</definedName>
    <definedName name="SliderOpProfitGraph">'Financial Scorecard'!$Q$26</definedName>
    <definedName name="SliderROAGraph">'Financial Scorecard'!$Q$24</definedName>
    <definedName name="SliderROEGraph">'Financial Scorecard'!$Q$25</definedName>
    <definedName name="SliderTDCProfitGraph">'Financial Scorecard'!$Q$29</definedName>
    <definedName name="SliderWCGraph">'Financial Scorecard'!$Q$14</definedName>
    <definedName name="SliderWCGRGraph">'Financial Scorecard'!$Q$15</definedName>
    <definedName name="solver_eng" localSheetId="12" hidden="1">1</definedName>
    <definedName name="solver_neg" localSheetId="12" hidden="1">1</definedName>
    <definedName name="solver_num" localSheetId="12" hidden="1">0</definedName>
    <definedName name="solver_opt" localSheetId="12" hidden="1">'Final Income and Cash Flows'!#REF!</definedName>
    <definedName name="solver_typ" localSheetId="12" hidden="1">1</definedName>
    <definedName name="solver_val" localSheetId="12" hidden="1">0</definedName>
    <definedName name="solver_ver" localSheetId="12" hidden="1">3</definedName>
    <definedName name="State">'Gen Info'!$K$8</definedName>
    <definedName name="Values_Entered" localSheetId="11">IF(Loan_Amount*Interest_Rate*Loan_Years*[0]!Loan_Start&gt;0,1,0)</definedName>
    <definedName name="Values_Entered" localSheetId="10">IF(Loan_Amount*Interest_Rate*Loan_Years*[0]!Loan_Start&gt;0,1,0)</definedName>
    <definedName name="Values_Entered">IF(Loan_Amount*Interest_Rate*Loan_Years*[0]!Loan_Start&gt;0,1,0)</definedName>
    <definedName name="Year">'Gen Info'!$K$13</definedName>
    <definedName name="Year1">'Final Income and Cash Flows'!$C$17</definedName>
    <definedName name="Year1AccrInt">'Projected BS'!$D$37</definedName>
    <definedName name="Year1BusAssets">'Projected BS'!$D$29</definedName>
    <definedName name="Year1BusAssetsCurrent">'Projected BS'!$D$14</definedName>
    <definedName name="Year1BusLiab">'Projected BS'!$D$55</definedName>
    <definedName name="Year1BusLiabCurrent">'Projected BS'!$D$40</definedName>
    <definedName name="Year1DMOpExp">'Final Income and Cash Flows'!$C$142</definedName>
    <definedName name="Year1GCFI">'Final Income and Cash Flows'!$C$30</definedName>
    <definedName name="Year1GCIDM">'Final Income and Cash Flows'!$C$116</definedName>
    <definedName name="Year1NetWorth">'Projected BS'!$D$57</definedName>
    <definedName name="Year1OpExp">'Final Income and Cash Flows'!$C$74</definedName>
    <definedName name="Year1PersIncome">'Final Income and Cash Flows'!$C$175-'Final Income and Cash Flows'!$C$172-'Final Income and Cash Flows'!$C$173</definedName>
    <definedName name="Year1PersOutflows">SUM('Final Income and Cash Flows'!$C$178:$C$197,'Final Income and Cash Flows'!$C$203:$C$204)</definedName>
    <definedName name="Year1TermDebtPayments">'Loan Entry'!$AD$3</definedName>
    <definedName name="Year1ValueFarmProd">IF(HowSell="Direct to Processor",(Year1GCFI-ACFVCFeederLivestockTot-ACFVCPurchFeedTot),(Year1GCFI-ACFVCFeederLivestockTot-ACFVCPurchFeedTot+Year1GCIDM))</definedName>
    <definedName name="Year2">'Final Income and Cash Flows'!$D$17</definedName>
    <definedName name="Year2AccrIntProj">'Projected BS'!$E$37</definedName>
    <definedName name="Year2BusAssetsCurrentProj">'Projected BS'!$E$14</definedName>
    <definedName name="Year2BusAssetsProj">'Projected BS'!$E$29</definedName>
    <definedName name="Year2BusLiabCurrentProj">'Projected BS'!$E$40</definedName>
    <definedName name="Year2BusLiabProj">'Projected BS'!$E$55</definedName>
    <definedName name="Year2DMOpExpProj">'Final Income and Cash Flows'!$D$142</definedName>
    <definedName name="Year2GCFIProj">'Final Income and Cash Flows'!$D$30</definedName>
    <definedName name="Year2GCIDMProj">'Final Income and Cash Flows'!$D$116</definedName>
    <definedName name="Year2NetWorthProj">'Projected BS'!$E$57</definedName>
    <definedName name="Year2OpExpProj">'Final Income and Cash Flows'!$D$74</definedName>
    <definedName name="Year2PersIncomeProj">'Final Income and Cash Flows'!$D$175-'Final Income and Cash Flows'!$D$172-'Final Income and Cash Flows'!$D$173</definedName>
    <definedName name="Year2PersOutflowsProj">SUM('Final Income and Cash Flows'!$D$178:$D$197,'Final Income and Cash Flows'!$D$203:$D$204)</definedName>
    <definedName name="Year2TermDebtPaymentsProj">'Loan Entry'!$AE$3</definedName>
    <definedName name="Year2ValueFarmProdProj">(IF(HowSell="Direct to Processor",(Year2GCFIProj-MCFVCFeederLivestockTot-MCFVCPurchFeedTot),(Year2GCFIProj-MCFVCFeederLivestockTot-MCFVCPurchFeedTot+Year2GCIDMProj)))</definedName>
    <definedName name="Zip">'Gen Info'!$K$9</definedName>
  </definedNames>
  <calcPr calcId="162913"/>
  <extLst>
    <ext xmlns:x15="http://schemas.microsoft.com/office/spreadsheetml/2010/11/main" uri="{FCE2AD5D-F65C-4FA6-A056-5C36A1767C68}">
      <x15:dataModel>
        <x15:modelTables>
          <x15:modelTable id="TabMPHideDM-58a7b315-f1a3-4b28-a146-6979409ffb18" name="TabMPHideDM" connection="WorksheetConnection_FishBiz Financials.xlsx!TabMPHideDM"/>
          <x15:modelTable id="TabAPHideDM-da191ae9-3a0f-4f1a-b7b9-c5ec56a45cca" name="TabAPHideDM" connection="WorksheetConnection_FishBiz Financials.xlsx!TabAPHideDM"/>
        </x15:modelTables>
        <x15:modelRelationships>
          <x15:modelRelationship fromTable="TabAPHideDM" fromColumn="Column1" toTable="TabMPHideDM" toColumn="Column1"/>
        </x15:modelRelationships>
      </x15:dataModel>
    </ext>
  </extLst>
</workbook>
</file>

<file path=xl/calcChain.xml><?xml version="1.0" encoding="utf-8"?>
<calcChain xmlns="http://schemas.openxmlformats.org/spreadsheetml/2006/main">
  <c r="AC10" i="12" l="1"/>
  <c r="AC9" i="12"/>
  <c r="AC8" i="12"/>
  <c r="AC7" i="12"/>
  <c r="AC6" i="12"/>
  <c r="G5" i="12" l="1"/>
  <c r="Y10" i="12"/>
  <c r="Y9" i="12"/>
  <c r="Y8" i="12"/>
  <c r="Y7" i="12"/>
  <c r="Y6" i="12"/>
  <c r="G3" i="4" l="1"/>
  <c r="D3" i="18"/>
  <c r="E3" i="5"/>
  <c r="F3" i="11"/>
  <c r="G10" i="12" l="1"/>
  <c r="G9" i="12"/>
  <c r="G8" i="12"/>
  <c r="G7" i="12"/>
  <c r="G6" i="12"/>
  <c r="AC19" i="15" l="1"/>
  <c r="AC18" i="15"/>
  <c r="AC16" i="15"/>
  <c r="AC15" i="15"/>
  <c r="AC14" i="15"/>
  <c r="AB19" i="15"/>
  <c r="AB18" i="15"/>
  <c r="AB16" i="15"/>
  <c r="AB15" i="15"/>
  <c r="AB14" i="15"/>
  <c r="AA19" i="15"/>
  <c r="AA18" i="15"/>
  <c r="AA16" i="15"/>
  <c r="U16" i="15" s="1"/>
  <c r="AA15" i="15"/>
  <c r="AA14" i="15"/>
  <c r="Z19" i="15"/>
  <c r="Z18" i="15"/>
  <c r="Z17" i="15"/>
  <c r="Y17" i="15" s="1"/>
  <c r="X17" i="15" s="1"/>
  <c r="Z16" i="15"/>
  <c r="Z15" i="15"/>
  <c r="Z14" i="15"/>
  <c r="Y19" i="15"/>
  <c r="Y18" i="15"/>
  <c r="Y16" i="15"/>
  <c r="Y15" i="15"/>
  <c r="Y14" i="15"/>
  <c r="X19" i="15"/>
  <c r="X18" i="15"/>
  <c r="W18" i="15" s="1"/>
  <c r="X16" i="15"/>
  <c r="W16" i="15" s="1"/>
  <c r="X15" i="15"/>
  <c r="X14" i="15"/>
  <c r="W14" i="15" s="1"/>
  <c r="W19" i="15"/>
  <c r="W15" i="15"/>
  <c r="V19" i="15"/>
  <c r="V18" i="15"/>
  <c r="V16" i="15"/>
  <c r="V15" i="15"/>
  <c r="V14" i="15"/>
  <c r="U19" i="15"/>
  <c r="U18" i="15"/>
  <c r="U15" i="15"/>
  <c r="U14" i="15"/>
  <c r="T19" i="15"/>
  <c r="T18" i="15"/>
  <c r="T16" i="15"/>
  <c r="T15" i="15"/>
  <c r="T14" i="15"/>
  <c r="S19" i="15"/>
  <c r="S18" i="15"/>
  <c r="S16" i="15"/>
  <c r="S15" i="15"/>
  <c r="S14" i="15"/>
  <c r="R19" i="15"/>
  <c r="R18" i="15"/>
  <c r="R16" i="15"/>
  <c r="R15" i="15"/>
  <c r="R14" i="15"/>
  <c r="Q19" i="15"/>
  <c r="Q18" i="15"/>
  <c r="Q17" i="15"/>
  <c r="R17" i="15" s="1"/>
  <c r="Q16" i="15"/>
  <c r="Q15" i="15"/>
  <c r="Q14" i="15"/>
  <c r="P19" i="15"/>
  <c r="P18" i="15"/>
  <c r="P17" i="15"/>
  <c r="P16" i="15"/>
  <c r="P15" i="15"/>
  <c r="P14" i="15"/>
  <c r="O19" i="15"/>
  <c r="O18" i="15"/>
  <c r="O17" i="15"/>
  <c r="O16" i="15"/>
  <c r="O15" i="15"/>
  <c r="O14" i="15"/>
  <c r="N19" i="15"/>
  <c r="N18" i="15"/>
  <c r="N16" i="15"/>
  <c r="N15" i="15"/>
  <c r="N14" i="15"/>
  <c r="L19" i="15"/>
  <c r="L18" i="15"/>
  <c r="L17" i="15"/>
  <c r="L16" i="15"/>
  <c r="L15" i="15"/>
  <c r="L14" i="15"/>
  <c r="W17" i="15" l="1"/>
  <c r="V17" i="15"/>
  <c r="T17" i="15" s="1"/>
  <c r="AA17" i="15"/>
  <c r="N17" i="15"/>
  <c r="U17" i="15"/>
  <c r="S17" i="15" s="1"/>
  <c r="L35" i="2"/>
  <c r="L36" i="2"/>
  <c r="L37" i="2"/>
  <c r="L38" i="2"/>
  <c r="L39" i="2"/>
  <c r="L40" i="2"/>
  <c r="L41" i="2"/>
  <c r="L42" i="2"/>
  <c r="L43" i="2"/>
  <c r="L44" i="2"/>
  <c r="L45" i="2"/>
  <c r="L46" i="2"/>
  <c r="L47" i="2"/>
  <c r="L48" i="2"/>
  <c r="L49" i="2"/>
  <c r="L50" i="2"/>
  <c r="L51" i="2"/>
  <c r="L52" i="2"/>
  <c r="L53" i="2"/>
  <c r="L54" i="2"/>
  <c r="L55" i="2"/>
  <c r="L56" i="2"/>
  <c r="L57" i="2"/>
  <c r="L58" i="2"/>
  <c r="L59" i="2"/>
  <c r="M35" i="2"/>
  <c r="M36" i="2"/>
  <c r="M37" i="2"/>
  <c r="M38" i="2"/>
  <c r="M39" i="2"/>
  <c r="M40" i="2"/>
  <c r="M41" i="2"/>
  <c r="M42" i="2"/>
  <c r="M43" i="2"/>
  <c r="M44" i="2"/>
  <c r="M45" i="2"/>
  <c r="M46" i="2"/>
  <c r="M47" i="2"/>
  <c r="M48" i="2"/>
  <c r="M49" i="2"/>
  <c r="M50" i="2"/>
  <c r="M51" i="2"/>
  <c r="M52" i="2"/>
  <c r="M53" i="2"/>
  <c r="M54" i="2"/>
  <c r="M55" i="2"/>
  <c r="M56" i="2"/>
  <c r="M57" i="2"/>
  <c r="M58" i="2"/>
  <c r="M59" i="2"/>
  <c r="AB17" i="15" l="1"/>
  <c r="AC17" i="15" s="1"/>
  <c r="H5" i="4"/>
  <c r="E5" i="4"/>
  <c r="B5" i="4"/>
  <c r="J73" i="16" l="1"/>
  <c r="M67" i="16"/>
  <c r="L73" i="16"/>
  <c r="K17" i="10"/>
  <c r="D20" i="13" l="1"/>
  <c r="U53" i="13"/>
  <c r="M35" i="19"/>
  <c r="O16" i="19" l="1"/>
  <c r="O17" i="19"/>
  <c r="O21" i="19"/>
  <c r="O22" i="19"/>
  <c r="O27" i="19"/>
  <c r="O28" i="19"/>
  <c r="O30" i="19"/>
  <c r="O31" i="19"/>
  <c r="K84" i="13" l="1"/>
  <c r="F47" i="13" l="1"/>
  <c r="F46" i="13"/>
  <c r="F45" i="13"/>
  <c r="C58" i="2"/>
  <c r="C16" i="2"/>
  <c r="C42" i="2"/>
  <c r="B80" i="2"/>
  <c r="B105" i="2" s="1"/>
  <c r="B166" i="2" s="1"/>
  <c r="D8" i="21" l="1"/>
  <c r="D7" i="21"/>
  <c r="D6" i="21"/>
  <c r="J133" i="13"/>
  <c r="J134" i="13"/>
  <c r="J135" i="13"/>
  <c r="J136" i="13"/>
  <c r="J137" i="13"/>
  <c r="J138" i="13"/>
  <c r="J139" i="13"/>
  <c r="J132" i="13"/>
  <c r="J123" i="13"/>
  <c r="J124" i="13"/>
  <c r="J125" i="13"/>
  <c r="J126" i="13"/>
  <c r="J127" i="13"/>
  <c r="J128" i="13"/>
  <c r="J129" i="13"/>
  <c r="J130" i="13"/>
  <c r="J131" i="13"/>
  <c r="J122" i="13"/>
  <c r="K96" i="13"/>
  <c r="K100" i="13"/>
  <c r="K121" i="13"/>
  <c r="K95" i="13"/>
  <c r="K91" i="13"/>
  <c r="K118" i="13"/>
  <c r="K117" i="13"/>
  <c r="K116" i="13"/>
  <c r="K115" i="13"/>
  <c r="K98" i="13"/>
  <c r="K93" i="13"/>
  <c r="K114" i="13"/>
  <c r="K89" i="13"/>
  <c r="K90" i="13"/>
  <c r="K104" i="13"/>
  <c r="K113" i="13"/>
  <c r="K112" i="13"/>
  <c r="K111" i="13"/>
  <c r="K110" i="13"/>
  <c r="K103" i="13"/>
  <c r="K102" i="13"/>
  <c r="K94" i="13"/>
  <c r="K109" i="13"/>
  <c r="K101" i="13"/>
  <c r="K99" i="13"/>
  <c r="K108" i="13"/>
  <c r="K107" i="13"/>
  <c r="K106" i="13"/>
  <c r="K105" i="13"/>
  <c r="K97" i="13"/>
  <c r="K92" i="13"/>
  <c r="K88" i="13"/>
  <c r="K87" i="13"/>
  <c r="K85" i="13"/>
  <c r="E67" i="2" l="1"/>
  <c r="E66" i="2"/>
  <c r="F67" i="2"/>
  <c r="F66" i="2"/>
  <c r="P2" i="2"/>
  <c r="J60" i="13"/>
  <c r="O60" i="13" l="1"/>
  <c r="P60" i="13"/>
  <c r="T60" i="13" s="1"/>
  <c r="S60" i="13" s="1"/>
  <c r="N60" i="13"/>
  <c r="J19" i="19"/>
  <c r="H19" i="19" s="1"/>
  <c r="P19" i="19"/>
  <c r="J20" i="19"/>
  <c r="L20" i="19" s="1"/>
  <c r="P20" i="19"/>
  <c r="J24" i="19"/>
  <c r="H24" i="19" s="1"/>
  <c r="P24" i="19"/>
  <c r="J25" i="19"/>
  <c r="L25" i="19" s="1"/>
  <c r="P25" i="19"/>
  <c r="J26" i="19"/>
  <c r="H26" i="19" s="1"/>
  <c r="P26" i="19"/>
  <c r="J29" i="19"/>
  <c r="P29" i="19"/>
  <c r="J32" i="19"/>
  <c r="H32" i="19" s="1"/>
  <c r="P32" i="19"/>
  <c r="J33" i="19"/>
  <c r="L33" i="19" s="1"/>
  <c r="P33" i="19"/>
  <c r="J34" i="19"/>
  <c r="L34" i="19" s="1"/>
  <c r="P34" i="19"/>
  <c r="J35" i="19"/>
  <c r="P35" i="19"/>
  <c r="J36" i="19"/>
  <c r="L36" i="19" s="1"/>
  <c r="P36" i="19"/>
  <c r="P18" i="19"/>
  <c r="J18" i="19"/>
  <c r="R60" i="13" l="1"/>
  <c r="Q60" i="13"/>
  <c r="H25" i="19"/>
  <c r="L19" i="19"/>
  <c r="L32" i="19"/>
  <c r="L18" i="19"/>
  <c r="H18" i="19"/>
  <c r="H36" i="19"/>
  <c r="H34" i="19"/>
  <c r="H33" i="19"/>
  <c r="AE15" i="15"/>
  <c r="AE14" i="15"/>
  <c r="AE13" i="15"/>
  <c r="AE11" i="15"/>
  <c r="AB21" i="15" l="1"/>
  <c r="AB20" i="15"/>
  <c r="AB13" i="15"/>
  <c r="AB11" i="15"/>
  <c r="C201" i="2"/>
  <c r="E196" i="8"/>
  <c r="D201" i="2" s="1"/>
  <c r="C202" i="2"/>
  <c r="C200" i="2"/>
  <c r="E197" i="8"/>
  <c r="E195" i="8"/>
  <c r="D202" i="2" l="1"/>
  <c r="D200" i="2"/>
  <c r="P93" i="8"/>
  <c r="O93" i="8"/>
  <c r="N93" i="8"/>
  <c r="M93" i="8"/>
  <c r="L93" i="8"/>
  <c r="K93" i="8"/>
  <c r="J93" i="8"/>
  <c r="I93" i="8"/>
  <c r="H93" i="8"/>
  <c r="G93" i="8"/>
  <c r="F93" i="8"/>
  <c r="Q22" i="8"/>
  <c r="Q82" i="8" s="1"/>
  <c r="P22" i="8"/>
  <c r="P82" i="8" s="1"/>
  <c r="O22" i="8"/>
  <c r="O82" i="8" s="1"/>
  <c r="N22" i="8"/>
  <c r="N82" i="8" s="1"/>
  <c r="M22" i="8"/>
  <c r="M82" i="8" s="1"/>
  <c r="L22" i="8"/>
  <c r="L82" i="8" s="1"/>
  <c r="K22" i="8"/>
  <c r="K82" i="8" s="1"/>
  <c r="J22" i="8"/>
  <c r="J82" i="8" s="1"/>
  <c r="I22" i="8"/>
  <c r="I82" i="8" s="1"/>
  <c r="H22" i="8"/>
  <c r="H82" i="8" s="1"/>
  <c r="G22" i="8"/>
  <c r="G82" i="8" s="1"/>
  <c r="F22" i="8"/>
  <c r="F82" i="8" s="1"/>
  <c r="D22" i="8"/>
  <c r="D82" i="8" s="1"/>
  <c r="V21" i="15" l="1"/>
  <c r="V20" i="15"/>
  <c r="V13" i="15"/>
  <c r="V11" i="15"/>
  <c r="AH11" i="15"/>
  <c r="AH13" i="15"/>
  <c r="AH14" i="15"/>
  <c r="AH15" i="15"/>
  <c r="AF6" i="15"/>
  <c r="AJ22" i="15"/>
  <c r="AA21" i="15" l="1"/>
  <c r="AD15" i="15" s="1"/>
  <c r="AA20" i="15"/>
  <c r="AD14" i="15" s="1"/>
  <c r="AA13" i="15"/>
  <c r="AD13" i="15" s="1"/>
  <c r="AA11" i="15"/>
  <c r="AD11" i="15" s="1"/>
  <c r="X21" i="15"/>
  <c r="W21" i="15" s="1"/>
  <c r="X20" i="15"/>
  <c r="W20" i="15" s="1"/>
  <c r="X13" i="15"/>
  <c r="W13" i="15" s="1"/>
  <c r="X11" i="15"/>
  <c r="W11" i="15" s="1"/>
  <c r="Y21" i="15"/>
  <c r="Y20" i="15"/>
  <c r="Y13" i="15"/>
  <c r="Y11" i="15"/>
  <c r="Y74" i="12"/>
  <c r="Y73" i="12"/>
  <c r="Y72" i="12"/>
  <c r="Y71" i="12"/>
  <c r="Y66" i="12"/>
  <c r="Y65" i="12"/>
  <c r="Y64" i="12"/>
  <c r="Y63" i="12"/>
  <c r="Y58" i="12"/>
  <c r="Y57" i="12"/>
  <c r="Y50" i="12"/>
  <c r="Y49" i="12"/>
  <c r="Y48" i="12"/>
  <c r="Y47" i="12"/>
  <c r="Y42" i="12"/>
  <c r="Y41" i="12"/>
  <c r="Y40" i="12"/>
  <c r="Y39" i="12"/>
  <c r="Y34" i="12"/>
  <c r="Y33" i="12"/>
  <c r="Y32" i="12"/>
  <c r="Y31" i="12"/>
  <c r="Y26" i="12"/>
  <c r="Y25" i="12"/>
  <c r="Y24" i="12"/>
  <c r="Y23" i="12"/>
  <c r="AC74" i="12"/>
  <c r="X74" i="12" s="1"/>
  <c r="AC73" i="12"/>
  <c r="X73" i="12" s="1"/>
  <c r="AC72" i="12"/>
  <c r="X72" i="12" s="1"/>
  <c r="AC71" i="12"/>
  <c r="X71" i="12" s="1"/>
  <c r="AC66" i="12"/>
  <c r="X66" i="12" s="1"/>
  <c r="AC65" i="12"/>
  <c r="X65" i="12" s="1"/>
  <c r="AC64" i="12"/>
  <c r="X64" i="12" s="1"/>
  <c r="AC63" i="12"/>
  <c r="X63" i="12" s="1"/>
  <c r="AC58" i="12"/>
  <c r="X58" i="12" s="1"/>
  <c r="AC57" i="12"/>
  <c r="X57" i="12" s="1"/>
  <c r="AC50" i="12"/>
  <c r="X50" i="12" s="1"/>
  <c r="AC49" i="12"/>
  <c r="X49" i="12" s="1"/>
  <c r="AC48" i="12"/>
  <c r="X48" i="12" s="1"/>
  <c r="AC47" i="12"/>
  <c r="X47" i="12" s="1"/>
  <c r="AC42" i="12"/>
  <c r="X42" i="12" s="1"/>
  <c r="AC41" i="12"/>
  <c r="X41" i="12" s="1"/>
  <c r="AC40" i="12"/>
  <c r="X40" i="12" s="1"/>
  <c r="AC39" i="12"/>
  <c r="X39" i="12" s="1"/>
  <c r="AC34" i="12"/>
  <c r="X34" i="12" s="1"/>
  <c r="AC33" i="12"/>
  <c r="X33" i="12" s="1"/>
  <c r="AC32" i="12"/>
  <c r="X32" i="12" s="1"/>
  <c r="AC31" i="12"/>
  <c r="X31" i="12" s="1"/>
  <c r="AC26" i="12"/>
  <c r="X26" i="12" s="1"/>
  <c r="AC25" i="12"/>
  <c r="X25" i="12" s="1"/>
  <c r="AC24" i="12"/>
  <c r="X24" i="12" s="1"/>
  <c r="AC23" i="12"/>
  <c r="X23" i="12" s="1"/>
  <c r="U13" i="15" l="1"/>
  <c r="AG13" i="15"/>
  <c r="AG11" i="15"/>
  <c r="U11" i="15"/>
  <c r="AG14" i="15"/>
  <c r="U20" i="15"/>
  <c r="AG15" i="15"/>
  <c r="U21" i="15"/>
  <c r="Z10" i="12"/>
  <c r="Z9" i="12"/>
  <c r="Z8" i="12"/>
  <c r="Z7" i="12"/>
  <c r="Z6" i="12"/>
  <c r="M10" i="12"/>
  <c r="M9" i="12"/>
  <c r="M8" i="12"/>
  <c r="M7" i="12"/>
  <c r="M6" i="12"/>
  <c r="S74" i="12"/>
  <c r="S73" i="12"/>
  <c r="S72" i="12"/>
  <c r="S71" i="12"/>
  <c r="S66" i="12"/>
  <c r="S65" i="12"/>
  <c r="S64" i="12"/>
  <c r="S63" i="12"/>
  <c r="S58" i="12"/>
  <c r="S57" i="12"/>
  <c r="S50" i="12"/>
  <c r="S49" i="12"/>
  <c r="S48" i="12"/>
  <c r="S47" i="12"/>
  <c r="S42" i="12"/>
  <c r="S41" i="12"/>
  <c r="S40" i="12"/>
  <c r="S39" i="12"/>
  <c r="S34" i="12"/>
  <c r="S33" i="12"/>
  <c r="S32" i="12"/>
  <c r="S31" i="12"/>
  <c r="S26" i="12"/>
  <c r="S25" i="12"/>
  <c r="S24" i="12"/>
  <c r="S23" i="12"/>
  <c r="AA23" i="12" l="1"/>
  <c r="Z23" i="12"/>
  <c r="AA31" i="12"/>
  <c r="Z31" i="12"/>
  <c r="AA39" i="12"/>
  <c r="Z39" i="12"/>
  <c r="AA47" i="12"/>
  <c r="Z47" i="12"/>
  <c r="AA57" i="12"/>
  <c r="Z57" i="12"/>
  <c r="AA65" i="12"/>
  <c r="Z65" i="12"/>
  <c r="AA73" i="12"/>
  <c r="Z73" i="12"/>
  <c r="AA24" i="12"/>
  <c r="Z24" i="12"/>
  <c r="AA32" i="12"/>
  <c r="Z32" i="12"/>
  <c r="AA40" i="12"/>
  <c r="Z40" i="12"/>
  <c r="AA48" i="12"/>
  <c r="Z48" i="12"/>
  <c r="AA58" i="12"/>
  <c r="Z58" i="12"/>
  <c r="AA66" i="12"/>
  <c r="Z66" i="12"/>
  <c r="AA74" i="12"/>
  <c r="Z74" i="12"/>
  <c r="AA25" i="12"/>
  <c r="Z25" i="12"/>
  <c r="AA33" i="12"/>
  <c r="Z33" i="12"/>
  <c r="AA41" i="12"/>
  <c r="Z41" i="12"/>
  <c r="AA49" i="12"/>
  <c r="Z49" i="12"/>
  <c r="AA63" i="12"/>
  <c r="Z63" i="12"/>
  <c r="AA71" i="12"/>
  <c r="Z71" i="12"/>
  <c r="AA26" i="12"/>
  <c r="Z26" i="12"/>
  <c r="AA34" i="12"/>
  <c r="Z34" i="12"/>
  <c r="AA42" i="12"/>
  <c r="Z42" i="12"/>
  <c r="AA50" i="12"/>
  <c r="Z50" i="12"/>
  <c r="AA64" i="12"/>
  <c r="Z64" i="12"/>
  <c r="AA72" i="12"/>
  <c r="Z72" i="12"/>
  <c r="AI22" i="15"/>
  <c r="AI26" i="15"/>
  <c r="AD74" i="12"/>
  <c r="AD73" i="12"/>
  <c r="AD72" i="12"/>
  <c r="AD71" i="12"/>
  <c r="AD66" i="12"/>
  <c r="AD65" i="12"/>
  <c r="AD64" i="12"/>
  <c r="AD63" i="12"/>
  <c r="AD58" i="12"/>
  <c r="AD57" i="12"/>
  <c r="AD50" i="12"/>
  <c r="AD49" i="12"/>
  <c r="AD48" i="12"/>
  <c r="AD42" i="12"/>
  <c r="AD41" i="12"/>
  <c r="AD40" i="12"/>
  <c r="AD34" i="12"/>
  <c r="AD33" i="12"/>
  <c r="AD32" i="12"/>
  <c r="AD31" i="12"/>
  <c r="AD26" i="12"/>
  <c r="AD25" i="12"/>
  <c r="AD24" i="12"/>
  <c r="AI42" i="12"/>
  <c r="AI41" i="12"/>
  <c r="AI40" i="12"/>
  <c r="AI74" i="12"/>
  <c r="AI73" i="12"/>
  <c r="AI72" i="12"/>
  <c r="AI71" i="12"/>
  <c r="AI66" i="12"/>
  <c r="AI65" i="12"/>
  <c r="AI64" i="12"/>
  <c r="AI63" i="12"/>
  <c r="AI58" i="12"/>
  <c r="AI57" i="12"/>
  <c r="AI50" i="12"/>
  <c r="AI49" i="12"/>
  <c r="AI48" i="12"/>
  <c r="AI47" i="12"/>
  <c r="AI34" i="12"/>
  <c r="AI33" i="12"/>
  <c r="AI32" i="12"/>
  <c r="AI31" i="12"/>
  <c r="AI26" i="12"/>
  <c r="AI25" i="12"/>
  <c r="AI24" i="12"/>
  <c r="AI23" i="12"/>
  <c r="Z76" i="12" l="1"/>
  <c r="E8" i="5" s="1"/>
  <c r="C90" i="2"/>
  <c r="AA76" i="12"/>
  <c r="H85" i="14"/>
  <c r="D85" i="14" s="1"/>
  <c r="H86" i="14"/>
  <c r="D86" i="14" s="1"/>
  <c r="H87" i="14"/>
  <c r="D87" i="14" s="1"/>
  <c r="H88" i="14"/>
  <c r="H89" i="14"/>
  <c r="D89" i="14" s="1"/>
  <c r="H90" i="14"/>
  <c r="D90" i="14" s="1"/>
  <c r="H91" i="14"/>
  <c r="D91" i="14" s="1"/>
  <c r="H92" i="14"/>
  <c r="D92" i="14" s="1"/>
  <c r="H93" i="14"/>
  <c r="D93" i="14" s="1"/>
  <c r="H94" i="14"/>
  <c r="D94" i="14" s="1"/>
  <c r="H95" i="14"/>
  <c r="D95" i="14" s="1"/>
  <c r="H96" i="14"/>
  <c r="D96" i="14" s="1"/>
  <c r="K96" i="14"/>
  <c r="E96" i="14" s="1"/>
  <c r="K95" i="14"/>
  <c r="E95" i="14" s="1"/>
  <c r="K94" i="14"/>
  <c r="E94" i="14" s="1"/>
  <c r="K93" i="14"/>
  <c r="E93" i="14" s="1"/>
  <c r="K92" i="14"/>
  <c r="E92" i="14" s="1"/>
  <c r="K91" i="14"/>
  <c r="E91" i="14" s="1"/>
  <c r="K90" i="14"/>
  <c r="E90" i="14" s="1"/>
  <c r="K89" i="14"/>
  <c r="E89" i="14" s="1"/>
  <c r="K88" i="14"/>
  <c r="E88" i="14" s="1"/>
  <c r="K87" i="14"/>
  <c r="E87" i="14" s="1"/>
  <c r="K86" i="14"/>
  <c r="E86" i="14" s="1"/>
  <c r="K85" i="14"/>
  <c r="E85" i="14" s="1"/>
  <c r="AF7" i="15"/>
  <c r="AF8" i="15"/>
  <c r="AF9" i="15"/>
  <c r="AF10" i="15"/>
  <c r="AF11" i="15"/>
  <c r="AF12" i="15"/>
  <c r="AF13" i="15"/>
  <c r="AF14" i="15"/>
  <c r="AF15" i="15"/>
  <c r="H97" i="14" l="1"/>
  <c r="D88" i="14"/>
  <c r="D97" i="14" s="1"/>
  <c r="K97" i="14"/>
  <c r="AI67" i="12"/>
  <c r="AI75" i="12"/>
  <c r="AI35" i="12"/>
  <c r="E45" i="20" s="1"/>
  <c r="AI27" i="12"/>
  <c r="E44" i="20" s="1"/>
  <c r="C39" i="2"/>
  <c r="C40" i="2"/>
  <c r="C41" i="2"/>
  <c r="C43" i="2"/>
  <c r="C44" i="2"/>
  <c r="C45" i="2"/>
  <c r="C46" i="2"/>
  <c r="C47" i="2"/>
  <c r="C48" i="2"/>
  <c r="C49" i="2"/>
  <c r="C50" i="2"/>
  <c r="C51" i="2"/>
  <c r="C52" i="2"/>
  <c r="C53" i="2"/>
  <c r="C54" i="2"/>
  <c r="C55" i="2"/>
  <c r="C56" i="2"/>
  <c r="C57" i="2"/>
  <c r="E39" i="2" l="1"/>
  <c r="E57" i="2"/>
  <c r="E42" i="2"/>
  <c r="E47" i="2"/>
  <c r="E53" i="2"/>
  <c r="E46" i="2"/>
  <c r="E56" i="2"/>
  <c r="E52" i="2"/>
  <c r="E49" i="2"/>
  <c r="E45" i="2"/>
  <c r="E41" i="2"/>
  <c r="E54" i="2"/>
  <c r="E43" i="2"/>
  <c r="E50" i="2"/>
  <c r="E55" i="2"/>
  <c r="E51" i="2"/>
  <c r="E48" i="2"/>
  <c r="E44" i="2"/>
  <c r="E40" i="2"/>
  <c r="E97" i="14"/>
  <c r="C95" i="2" l="1"/>
  <c r="C94" i="2"/>
  <c r="C93" i="2"/>
  <c r="C92" i="2"/>
  <c r="C91" i="2"/>
  <c r="C71" i="2"/>
  <c r="E71" i="2" s="1"/>
  <c r="C70" i="2"/>
  <c r="E70" i="2" s="1"/>
  <c r="C69" i="2"/>
  <c r="E69" i="2" s="1"/>
  <c r="C68" i="2"/>
  <c r="E68" i="2" s="1"/>
  <c r="C64" i="2"/>
  <c r="E64" i="2" s="1"/>
  <c r="C63" i="2"/>
  <c r="E63" i="2" s="1"/>
  <c r="C59" i="2"/>
  <c r="C38" i="2"/>
  <c r="C37" i="2"/>
  <c r="C36" i="2"/>
  <c r="C35" i="2"/>
  <c r="C34" i="2"/>
  <c r="C33" i="2"/>
  <c r="C29" i="2"/>
  <c r="C28" i="2"/>
  <c r="C27" i="2"/>
  <c r="C26" i="2"/>
  <c r="C25" i="2"/>
  <c r="C24" i="2"/>
  <c r="C22" i="2"/>
  <c r="C21" i="2"/>
  <c r="C20" i="2"/>
  <c r="C19" i="2"/>
  <c r="E37" i="2" l="1"/>
  <c r="E34" i="2"/>
  <c r="E38" i="2"/>
  <c r="E58" i="2"/>
  <c r="E33" i="2"/>
  <c r="E35" i="2"/>
  <c r="E36" i="2"/>
  <c r="E59" i="2"/>
  <c r="C51" i="20"/>
  <c r="D66" i="8"/>
  <c r="D93" i="8"/>
  <c r="C18" i="2"/>
  <c r="A35" i="21"/>
  <c r="D34" i="21"/>
  <c r="D33" i="21"/>
  <c r="D32" i="21"/>
  <c r="D31" i="21"/>
  <c r="D30" i="21"/>
  <c r="D29" i="21"/>
  <c r="D28" i="21"/>
  <c r="A24" i="21"/>
  <c r="E23" i="21"/>
  <c r="E22" i="21"/>
  <c r="E21" i="21"/>
  <c r="E20" i="21"/>
  <c r="E19" i="21"/>
  <c r="E18" i="21"/>
  <c r="E17" i="21"/>
  <c r="A13" i="21"/>
  <c r="D12" i="21"/>
  <c r="D11" i="21"/>
  <c r="D10" i="21"/>
  <c r="D9" i="21"/>
  <c r="A2" i="21"/>
  <c r="D2" i="20"/>
  <c r="C73" i="20"/>
  <c r="C76" i="20"/>
  <c r="C44" i="20"/>
  <c r="C45" i="20"/>
  <c r="D48" i="20"/>
  <c r="C49" i="20"/>
  <c r="C50" i="20"/>
  <c r="C43" i="20"/>
  <c r="C34" i="20"/>
  <c r="C33" i="20"/>
  <c r="B26" i="11"/>
  <c r="C65" i="2" l="1"/>
  <c r="E65" i="2" s="1"/>
  <c r="K86" i="13"/>
  <c r="C23" i="2"/>
  <c r="E24" i="21"/>
  <c r="E8" i="20" s="1"/>
  <c r="D35" i="21"/>
  <c r="E9" i="20" s="1"/>
  <c r="D13" i="21"/>
  <c r="E7" i="20" s="1"/>
  <c r="Q52" i="8"/>
  <c r="P52" i="8"/>
  <c r="O52" i="8"/>
  <c r="N52" i="8"/>
  <c r="M52" i="8"/>
  <c r="L52" i="8"/>
  <c r="K52" i="8"/>
  <c r="J52" i="8"/>
  <c r="I52" i="8"/>
  <c r="H52" i="8"/>
  <c r="G52" i="8"/>
  <c r="F52" i="8"/>
  <c r="D52" i="8"/>
  <c r="E57" i="8"/>
  <c r="E56" i="8"/>
  <c r="C87" i="2" l="1"/>
  <c r="Q91" i="8"/>
  <c r="P91" i="8"/>
  <c r="O91" i="8"/>
  <c r="N91" i="8"/>
  <c r="M91" i="8"/>
  <c r="L91" i="8"/>
  <c r="K91" i="8"/>
  <c r="J91" i="8"/>
  <c r="I91" i="8"/>
  <c r="H91" i="8"/>
  <c r="G91" i="8"/>
  <c r="F91" i="8"/>
  <c r="Q90" i="8"/>
  <c r="P90" i="8"/>
  <c r="O90" i="8"/>
  <c r="N90" i="8"/>
  <c r="M90" i="8"/>
  <c r="L90" i="8"/>
  <c r="K90" i="8"/>
  <c r="J90" i="8"/>
  <c r="I90" i="8"/>
  <c r="H90" i="8"/>
  <c r="G90" i="8"/>
  <c r="F90" i="8"/>
  <c r="Q89" i="8"/>
  <c r="P89" i="8"/>
  <c r="O89" i="8"/>
  <c r="N89" i="8"/>
  <c r="M89" i="8"/>
  <c r="L89" i="8"/>
  <c r="K89" i="8"/>
  <c r="J89" i="8"/>
  <c r="I89" i="8"/>
  <c r="H89" i="8"/>
  <c r="G89" i="8"/>
  <c r="F89" i="8"/>
  <c r="D91" i="8"/>
  <c r="D89" i="8"/>
  <c r="D90" i="8"/>
  <c r="C88" i="2" l="1"/>
  <c r="E91" i="8"/>
  <c r="E90" i="8"/>
  <c r="J15" i="19"/>
  <c r="J13" i="19"/>
  <c r="P14" i="19"/>
  <c r="P15" i="19"/>
  <c r="P13" i="19"/>
  <c r="D135" i="8" l="1"/>
  <c r="E49" i="8"/>
  <c r="E48" i="8"/>
  <c r="E44" i="8"/>
  <c r="E43" i="8"/>
  <c r="E42" i="8"/>
  <c r="E41" i="8"/>
  <c r="E40" i="8"/>
  <c r="E38" i="8"/>
  <c r="E37" i="8"/>
  <c r="E36" i="8"/>
  <c r="E35" i="8"/>
  <c r="E34" i="8"/>
  <c r="E33" i="8"/>
  <c r="E32" i="8"/>
  <c r="E31" i="8"/>
  <c r="E28" i="8"/>
  <c r="E27" i="8"/>
  <c r="E26" i="8"/>
  <c r="E19" i="8"/>
  <c r="E17" i="8"/>
  <c r="D26" i="2" s="1"/>
  <c r="E16" i="8"/>
  <c r="D25" i="2" s="1"/>
  <c r="E15" i="8"/>
  <c r="D24" i="2" s="1"/>
  <c r="E14" i="8"/>
  <c r="D42" i="2" l="1"/>
  <c r="D39" i="2"/>
  <c r="F39" i="2" s="1"/>
  <c r="L106" i="13"/>
  <c r="D51" i="2"/>
  <c r="F51" i="2" s="1"/>
  <c r="L104" i="13"/>
  <c r="D34" i="2"/>
  <c r="L87" i="13"/>
  <c r="D40" i="2"/>
  <c r="F40" i="2" s="1"/>
  <c r="L107" i="13"/>
  <c r="D44" i="2"/>
  <c r="F44" i="2" s="1"/>
  <c r="L109" i="13"/>
  <c r="D49" i="2"/>
  <c r="F49" i="2" s="1"/>
  <c r="L111" i="13"/>
  <c r="D56" i="2"/>
  <c r="F56" i="2" s="1"/>
  <c r="L93" i="13"/>
  <c r="D35" i="2"/>
  <c r="F35" i="2" s="1"/>
  <c r="L88" i="13"/>
  <c r="D41" i="2"/>
  <c r="F41" i="2" s="1"/>
  <c r="L108" i="13"/>
  <c r="D45" i="2"/>
  <c r="F45" i="2" s="1"/>
  <c r="L94" i="13"/>
  <c r="D50" i="2"/>
  <c r="F50" i="2" s="1"/>
  <c r="L112" i="13"/>
  <c r="D57" i="2"/>
  <c r="F57" i="2" s="1"/>
  <c r="L98" i="13"/>
  <c r="D43" i="2"/>
  <c r="F43" i="2" s="1"/>
  <c r="L101" i="13"/>
  <c r="D48" i="2"/>
  <c r="F48" i="2" s="1"/>
  <c r="L110" i="13"/>
  <c r="D36" i="2"/>
  <c r="F36" i="2" s="1"/>
  <c r="L92" i="13"/>
  <c r="F42" i="2"/>
  <c r="L99" i="13"/>
  <c r="D46" i="2"/>
  <c r="F46" i="2" s="1"/>
  <c r="L102" i="13"/>
  <c r="L113" i="13"/>
  <c r="D95" i="2"/>
  <c r="E108" i="8"/>
  <c r="E107" i="8"/>
  <c r="E106" i="8"/>
  <c r="F34" i="2" l="1"/>
  <c r="M34" i="2"/>
  <c r="L34" i="2"/>
  <c r="E59" i="8"/>
  <c r="E13" i="8"/>
  <c r="D21" i="2" s="1"/>
  <c r="E87" i="8"/>
  <c r="D22" i="2" s="1"/>
  <c r="E85" i="8"/>
  <c r="D63" i="2" l="1"/>
  <c r="F63" i="2" s="1"/>
  <c r="L117" i="13"/>
  <c r="B43" i="12"/>
  <c r="A43" i="12"/>
  <c r="AE42" i="12"/>
  <c r="AB42" i="12"/>
  <c r="W42" i="12"/>
  <c r="V42" i="12"/>
  <c r="U42" i="12"/>
  <c r="T42" i="12"/>
  <c r="R42" i="12"/>
  <c r="Q42" i="12"/>
  <c r="P42" i="12"/>
  <c r="O42" i="12"/>
  <c r="N42" i="12"/>
  <c r="L42" i="12"/>
  <c r="H42" i="12"/>
  <c r="K42" i="12" s="1"/>
  <c r="A42" i="12"/>
  <c r="AE41" i="12"/>
  <c r="AB41" i="12"/>
  <c r="W41" i="12"/>
  <c r="V41" i="12"/>
  <c r="U41" i="12"/>
  <c r="T41" i="12"/>
  <c r="R41" i="12"/>
  <c r="Q41" i="12"/>
  <c r="P41" i="12"/>
  <c r="O41" i="12"/>
  <c r="N41" i="12"/>
  <c r="L41" i="12"/>
  <c r="H41" i="12"/>
  <c r="K41" i="12" s="1"/>
  <c r="A41" i="12"/>
  <c r="AE40" i="12"/>
  <c r="AB40" i="12"/>
  <c r="W40" i="12"/>
  <c r="V40" i="12"/>
  <c r="U40" i="12"/>
  <c r="T40" i="12"/>
  <c r="R40" i="12"/>
  <c r="Q40" i="12"/>
  <c r="P40" i="12"/>
  <c r="O40" i="12"/>
  <c r="N40" i="12"/>
  <c r="L40" i="12"/>
  <c r="H40" i="12"/>
  <c r="K40" i="12" s="1"/>
  <c r="A40" i="12"/>
  <c r="Q39" i="12"/>
  <c r="L39" i="12"/>
  <c r="H39" i="12"/>
  <c r="P39" i="12" s="1"/>
  <c r="A39" i="12"/>
  <c r="AH42" i="12" l="1"/>
  <c r="AF42" i="12"/>
  <c r="AH40" i="12"/>
  <c r="AF40" i="12"/>
  <c r="AH41" i="12"/>
  <c r="AF41" i="12"/>
  <c r="O39" i="12"/>
  <c r="K39" i="12"/>
  <c r="B12" i="11"/>
  <c r="C9" i="20" s="1"/>
  <c r="B11" i="11"/>
  <c r="C8" i="20" s="1"/>
  <c r="B10" i="11"/>
  <c r="C7" i="20" s="1"/>
  <c r="A37" i="18"/>
  <c r="E25" i="18"/>
  <c r="E24" i="18"/>
  <c r="E23" i="18"/>
  <c r="E22" i="18"/>
  <c r="E21" i="18"/>
  <c r="E20" i="18"/>
  <c r="E19" i="18"/>
  <c r="D36" i="18"/>
  <c r="D35" i="18"/>
  <c r="D34" i="18"/>
  <c r="D33" i="18"/>
  <c r="D32" i="18"/>
  <c r="D31" i="18"/>
  <c r="D30" i="18"/>
  <c r="A26" i="18"/>
  <c r="D14" i="18"/>
  <c r="D13" i="18"/>
  <c r="D12" i="18"/>
  <c r="D11" i="18"/>
  <c r="D10" i="18"/>
  <c r="D9" i="18"/>
  <c r="D8" i="18"/>
  <c r="A15" i="18"/>
  <c r="A2" i="18"/>
  <c r="AD39" i="12" l="1"/>
  <c r="R39" i="12"/>
  <c r="T39" i="12" s="1"/>
  <c r="U39" i="12" s="1"/>
  <c r="E26" i="18"/>
  <c r="C11" i="11" s="1"/>
  <c r="D8" i="20" s="1"/>
  <c r="D37" i="18"/>
  <c r="D15" i="18"/>
  <c r="Q92" i="8" l="1"/>
  <c r="C12" i="11"/>
  <c r="D9" i="20" s="1"/>
  <c r="W39" i="12"/>
  <c r="V39" i="12"/>
  <c r="C10" i="11"/>
  <c r="D7" i="20" s="1"/>
  <c r="N39" i="12"/>
  <c r="AB39" i="12" s="1"/>
  <c r="K30" i="14" s="1"/>
  <c r="A74" i="12"/>
  <c r="A73" i="12"/>
  <c r="A72" i="12"/>
  <c r="A71" i="12"/>
  <c r="A66" i="12"/>
  <c r="A65" i="12"/>
  <c r="A64" i="12"/>
  <c r="A63" i="12"/>
  <c r="A58" i="12"/>
  <c r="A57" i="12"/>
  <c r="A56" i="12"/>
  <c r="A55" i="12"/>
  <c r="A50" i="12"/>
  <c r="A49" i="12"/>
  <c r="A48" i="12"/>
  <c r="A47" i="12"/>
  <c r="R74" i="12"/>
  <c r="R73" i="12"/>
  <c r="R72" i="12"/>
  <c r="R71" i="12"/>
  <c r="R66" i="12"/>
  <c r="R65" i="12"/>
  <c r="R64" i="12"/>
  <c r="R63" i="12"/>
  <c r="R58" i="12"/>
  <c r="R57" i="12"/>
  <c r="R56" i="12"/>
  <c r="R50" i="12"/>
  <c r="R49" i="12"/>
  <c r="R48" i="12"/>
  <c r="B51" i="12"/>
  <c r="A51" i="12"/>
  <c r="AE50" i="12"/>
  <c r="AB50" i="12"/>
  <c r="W50" i="12"/>
  <c r="V50" i="12"/>
  <c r="U50" i="12"/>
  <c r="T50" i="12"/>
  <c r="Q50" i="12"/>
  <c r="P50" i="12"/>
  <c r="O50" i="12"/>
  <c r="N50" i="12"/>
  <c r="L50" i="12"/>
  <c r="H50" i="12"/>
  <c r="K50" i="12" s="1"/>
  <c r="AE49" i="12"/>
  <c r="AB49" i="12"/>
  <c r="W49" i="12"/>
  <c r="V49" i="12"/>
  <c r="U49" i="12"/>
  <c r="T49" i="12"/>
  <c r="Q49" i="12"/>
  <c r="P49" i="12"/>
  <c r="O49" i="12"/>
  <c r="N49" i="12"/>
  <c r="L49" i="12"/>
  <c r="H49" i="12"/>
  <c r="K49" i="12" s="1"/>
  <c r="AE48" i="12"/>
  <c r="AB48" i="12"/>
  <c r="W48" i="12"/>
  <c r="V48" i="12"/>
  <c r="U48" i="12"/>
  <c r="T48" i="12"/>
  <c r="Q48" i="12"/>
  <c r="P48" i="12"/>
  <c r="O48" i="12"/>
  <c r="N48" i="12"/>
  <c r="L48" i="12"/>
  <c r="H48" i="12"/>
  <c r="K48" i="12" s="1"/>
  <c r="Q47" i="12"/>
  <c r="L47" i="12"/>
  <c r="H47" i="12"/>
  <c r="K47" i="12" s="1"/>
  <c r="AH49" i="12" l="1"/>
  <c r="AF49" i="12"/>
  <c r="AH48" i="12"/>
  <c r="AF48" i="12"/>
  <c r="AH50" i="12"/>
  <c r="AF50" i="12"/>
  <c r="AE39" i="12"/>
  <c r="N26" i="14"/>
  <c r="N24" i="14"/>
  <c r="I22" i="14"/>
  <c r="Q29" i="14"/>
  <c r="P25" i="14"/>
  <c r="N19" i="14"/>
  <c r="H30" i="14"/>
  <c r="O20" i="14"/>
  <c r="Q25" i="14"/>
  <c r="O23" i="14"/>
  <c r="K22" i="14"/>
  <c r="H20" i="14"/>
  <c r="N25" i="14"/>
  <c r="J21" i="14"/>
  <c r="K29" i="14"/>
  <c r="J26" i="14"/>
  <c r="P24" i="14"/>
  <c r="H19" i="14"/>
  <c r="H29" i="14"/>
  <c r="J28" i="14"/>
  <c r="Q24" i="14"/>
  <c r="O30" i="14"/>
  <c r="I27" i="14"/>
  <c r="I29" i="14"/>
  <c r="I19" i="14"/>
  <c r="N27" i="14"/>
  <c r="H27" i="14"/>
  <c r="N22" i="14"/>
  <c r="H26" i="14"/>
  <c r="N21" i="14"/>
  <c r="H25" i="14"/>
  <c r="N20" i="14"/>
  <c r="J20" i="14"/>
  <c r="Q23" i="14"/>
  <c r="J29" i="14"/>
  <c r="K23" i="14"/>
  <c r="I26" i="14"/>
  <c r="I30" i="14"/>
  <c r="Q26" i="14"/>
  <c r="O21" i="14"/>
  <c r="O24" i="14"/>
  <c r="O27" i="14"/>
  <c r="J30" i="14"/>
  <c r="I21" i="14"/>
  <c r="I23" i="14"/>
  <c r="O25" i="14"/>
  <c r="P27" i="14"/>
  <c r="P29" i="14"/>
  <c r="H28" i="14"/>
  <c r="N23" i="14"/>
  <c r="H23" i="14"/>
  <c r="P19" i="14"/>
  <c r="H22" i="14"/>
  <c r="Q19" i="14"/>
  <c r="H21" i="14"/>
  <c r="Q20" i="14"/>
  <c r="P20" i="14"/>
  <c r="I25" i="14"/>
  <c r="Q30" i="14"/>
  <c r="K24" i="14"/>
  <c r="K27" i="14"/>
  <c r="Q21" i="14"/>
  <c r="J27" i="14"/>
  <c r="O22" i="14"/>
  <c r="K25" i="14"/>
  <c r="O28" i="14"/>
  <c r="Q22" i="14"/>
  <c r="P21" i="14"/>
  <c r="P23" i="14"/>
  <c r="P26" i="14"/>
  <c r="I28" i="14"/>
  <c r="P30" i="14"/>
  <c r="H24" i="14"/>
  <c r="O19" i="14"/>
  <c r="N30" i="14"/>
  <c r="K19" i="14"/>
  <c r="N29" i="14"/>
  <c r="J19" i="14"/>
  <c r="N28" i="14"/>
  <c r="I20" i="14"/>
  <c r="K20" i="14"/>
  <c r="Q27" i="14"/>
  <c r="K21" i="14"/>
  <c r="J25" i="14"/>
  <c r="K28" i="14"/>
  <c r="J23" i="14"/>
  <c r="Q28" i="14"/>
  <c r="J22" i="14"/>
  <c r="O26" i="14"/>
  <c r="O29" i="14"/>
  <c r="J24" i="14"/>
  <c r="P22" i="14"/>
  <c r="I24" i="14"/>
  <c r="K26" i="14"/>
  <c r="P28" i="14"/>
  <c r="AE43" i="12"/>
  <c r="G28" i="11" s="1"/>
  <c r="D51" i="20" s="1"/>
  <c r="AD43" i="12"/>
  <c r="R47" i="12"/>
  <c r="T47" i="12" s="1"/>
  <c r="U47" i="12" s="1"/>
  <c r="P47" i="12"/>
  <c r="O47" i="12"/>
  <c r="AD47" i="12" s="1"/>
  <c r="H74" i="12"/>
  <c r="H73" i="12"/>
  <c r="H72" i="12"/>
  <c r="H71" i="12"/>
  <c r="H66" i="12"/>
  <c r="H65" i="12"/>
  <c r="H64" i="12"/>
  <c r="H63" i="12"/>
  <c r="H58" i="12"/>
  <c r="H57" i="12"/>
  <c r="H56" i="12"/>
  <c r="H55" i="12"/>
  <c r="H34" i="12"/>
  <c r="H33" i="12"/>
  <c r="H32" i="12"/>
  <c r="H31" i="12"/>
  <c r="H26" i="12"/>
  <c r="H25" i="12"/>
  <c r="H24" i="12"/>
  <c r="H23" i="12"/>
  <c r="H18" i="12"/>
  <c r="H17" i="12"/>
  <c r="H15" i="12"/>
  <c r="AB74" i="12"/>
  <c r="AB73" i="12"/>
  <c r="AB72" i="12"/>
  <c r="AB71" i="12"/>
  <c r="AB66" i="12"/>
  <c r="AB65" i="12"/>
  <c r="AB64" i="12"/>
  <c r="AB63" i="12"/>
  <c r="AB58" i="12"/>
  <c r="AB57" i="12"/>
  <c r="AB34" i="12"/>
  <c r="AB33" i="12"/>
  <c r="AB32" i="12"/>
  <c r="AB31" i="12"/>
  <c r="AB26" i="12"/>
  <c r="AB25" i="12"/>
  <c r="AB24" i="12"/>
  <c r="AB23" i="12"/>
  <c r="H16" i="12"/>
  <c r="D30" i="14" l="1"/>
  <c r="E24" i="14"/>
  <c r="AH39" i="12"/>
  <c r="AF39" i="12"/>
  <c r="E27" i="14"/>
  <c r="E30" i="14"/>
  <c r="E22" i="14"/>
  <c r="D29" i="14"/>
  <c r="E21" i="14"/>
  <c r="D23" i="14"/>
  <c r="D19" i="14"/>
  <c r="D21" i="14"/>
  <c r="E19" i="14"/>
  <c r="E20" i="14"/>
  <c r="E26" i="14"/>
  <c r="E29" i="14"/>
  <c r="D24" i="14"/>
  <c r="E23" i="14"/>
  <c r="D25" i="14"/>
  <c r="D27" i="14"/>
  <c r="D20" i="14"/>
  <c r="E25" i="14"/>
  <c r="E28" i="14"/>
  <c r="D22" i="14"/>
  <c r="D28" i="14"/>
  <c r="D26" i="14"/>
  <c r="AI39" i="12"/>
  <c r="AI43" i="12" s="1"/>
  <c r="E51" i="20" s="1"/>
  <c r="V47" i="12"/>
  <c r="W47" i="12"/>
  <c r="D52" i="11"/>
  <c r="C77" i="20" s="1"/>
  <c r="D50" i="11"/>
  <c r="C75" i="20" s="1"/>
  <c r="D49" i="11"/>
  <c r="C74" i="20" s="1"/>
  <c r="D47" i="11"/>
  <c r="C72" i="20" s="1"/>
  <c r="D29" i="11"/>
  <c r="C52" i="20" s="1"/>
  <c r="D16" i="11"/>
  <c r="C39" i="20" s="1"/>
  <c r="D13" i="11"/>
  <c r="C38" i="20" s="1"/>
  <c r="D12" i="11"/>
  <c r="C37" i="20" s="1"/>
  <c r="D11" i="11"/>
  <c r="C36" i="20" s="1"/>
  <c r="D10" i="11"/>
  <c r="C35" i="20" s="1"/>
  <c r="B55" i="11"/>
  <c r="C68" i="20" s="1"/>
  <c r="B54" i="11"/>
  <c r="C67" i="20" s="1"/>
  <c r="B53" i="11"/>
  <c r="C66" i="20" s="1"/>
  <c r="B52" i="11"/>
  <c r="C65" i="20" s="1"/>
  <c r="B51" i="11"/>
  <c r="C64" i="20" s="1"/>
  <c r="B50" i="11"/>
  <c r="C63" i="20" s="1"/>
  <c r="B49" i="11"/>
  <c r="C62" i="20" s="1"/>
  <c r="B48" i="11"/>
  <c r="C61" i="20" s="1"/>
  <c r="B47" i="11"/>
  <c r="C60" i="20" s="1"/>
  <c r="B16" i="11"/>
  <c r="C13" i="20" s="1"/>
  <c r="B9" i="11"/>
  <c r="C6" i="20" s="1"/>
  <c r="B15" i="11"/>
  <c r="C12" i="20" s="1"/>
  <c r="B14" i="11"/>
  <c r="C11" i="20" s="1"/>
  <c r="B13" i="11"/>
  <c r="C10" i="20" s="1"/>
  <c r="B8" i="11"/>
  <c r="C5" i="20" s="1"/>
  <c r="B29" i="11"/>
  <c r="C26" i="20" s="1"/>
  <c r="B28" i="11"/>
  <c r="C25" i="20" s="1"/>
  <c r="B27" i="11"/>
  <c r="C24" i="20" s="1"/>
  <c r="C23" i="20"/>
  <c r="B22" i="11"/>
  <c r="C19" i="20" s="1"/>
  <c r="B21" i="11"/>
  <c r="C18" i="20" s="1"/>
  <c r="B20" i="11"/>
  <c r="C17" i="20" s="1"/>
  <c r="AE47" i="12" l="1"/>
  <c r="R34" i="12"/>
  <c r="R33" i="12"/>
  <c r="R32" i="12"/>
  <c r="R31" i="12"/>
  <c r="R26" i="12"/>
  <c r="R25" i="12"/>
  <c r="R24" i="12"/>
  <c r="R23" i="12"/>
  <c r="AH47" i="12" l="1"/>
  <c r="AF47" i="12"/>
  <c r="AE51" i="12"/>
  <c r="G27" i="11" s="1"/>
  <c r="D50" i="20" s="1"/>
  <c r="AE10" i="12"/>
  <c r="AE9" i="12"/>
  <c r="AE8" i="12"/>
  <c r="AE7" i="12"/>
  <c r="AE6" i="12"/>
  <c r="AD10" i="12"/>
  <c r="AD9" i="12"/>
  <c r="X9" i="12" s="1"/>
  <c r="AD8" i="12"/>
  <c r="AD7" i="12"/>
  <c r="AD6" i="12"/>
  <c r="X10" i="12"/>
  <c r="X8" i="12"/>
  <c r="X7" i="12"/>
  <c r="L10" i="12"/>
  <c r="L9" i="12"/>
  <c r="L8" i="12"/>
  <c r="L7" i="12"/>
  <c r="L6" i="12"/>
  <c r="H10" i="12"/>
  <c r="H9" i="12"/>
  <c r="H8" i="12"/>
  <c r="H7" i="12"/>
  <c r="H6" i="12"/>
  <c r="H5" i="12"/>
  <c r="K18" i="12"/>
  <c r="K17" i="12"/>
  <c r="K16" i="12"/>
  <c r="L18" i="12"/>
  <c r="L17" i="12"/>
  <c r="L16" i="12"/>
  <c r="P18" i="12"/>
  <c r="P17" i="12"/>
  <c r="P16" i="12"/>
  <c r="Q18" i="12"/>
  <c r="Q17" i="12"/>
  <c r="Q16" i="12"/>
  <c r="AE74" i="12"/>
  <c r="AE73" i="12"/>
  <c r="AE72" i="12"/>
  <c r="AE66" i="12"/>
  <c r="AE65" i="12"/>
  <c r="AE64" i="12"/>
  <c r="AE58" i="12"/>
  <c r="AE57" i="12"/>
  <c r="AE34" i="12"/>
  <c r="AE33" i="12"/>
  <c r="AE32" i="12"/>
  <c r="AE31" i="12"/>
  <c r="AE26" i="12"/>
  <c r="AE25" i="12"/>
  <c r="AE24" i="12"/>
  <c r="AE23" i="12"/>
  <c r="W74" i="12"/>
  <c r="W73" i="12"/>
  <c r="W72" i="12"/>
  <c r="W66" i="12"/>
  <c r="W65" i="12"/>
  <c r="W64" i="12"/>
  <c r="W58" i="12"/>
  <c r="W57" i="12"/>
  <c r="W34" i="12"/>
  <c r="W33" i="12"/>
  <c r="W32" i="12"/>
  <c r="W31" i="12"/>
  <c r="W26" i="12"/>
  <c r="W25" i="12"/>
  <c r="W24" i="12"/>
  <c r="W23" i="12"/>
  <c r="V74" i="12"/>
  <c r="V73" i="12"/>
  <c r="V72" i="12"/>
  <c r="V66" i="12"/>
  <c r="V65" i="12"/>
  <c r="V64" i="12"/>
  <c r="V58" i="12"/>
  <c r="V57" i="12"/>
  <c r="V34" i="12"/>
  <c r="V33" i="12"/>
  <c r="V32" i="12"/>
  <c r="V31" i="12"/>
  <c r="V26" i="12"/>
  <c r="V25" i="12"/>
  <c r="V24" i="12"/>
  <c r="V23" i="12"/>
  <c r="U74" i="12"/>
  <c r="U73" i="12"/>
  <c r="U72" i="12"/>
  <c r="U66" i="12"/>
  <c r="U65" i="12"/>
  <c r="U64" i="12"/>
  <c r="U58" i="12"/>
  <c r="U57" i="12"/>
  <c r="U34" i="12"/>
  <c r="U33" i="12"/>
  <c r="U32" i="12"/>
  <c r="U31" i="12"/>
  <c r="U26" i="12"/>
  <c r="U25" i="12"/>
  <c r="U24" i="12"/>
  <c r="U23" i="12"/>
  <c r="T74" i="12"/>
  <c r="T73" i="12"/>
  <c r="T72" i="12"/>
  <c r="T66" i="12"/>
  <c r="T65" i="12"/>
  <c r="T64" i="12"/>
  <c r="T58" i="12"/>
  <c r="T57" i="12"/>
  <c r="T34" i="12"/>
  <c r="T33" i="12"/>
  <c r="T32" i="12"/>
  <c r="T31" i="12"/>
  <c r="T26" i="12"/>
  <c r="T25" i="12"/>
  <c r="T24" i="12"/>
  <c r="T23" i="12"/>
  <c r="Q74" i="12"/>
  <c r="Q73" i="12"/>
  <c r="Q72" i="12"/>
  <c r="Q71" i="12"/>
  <c r="Q66" i="12"/>
  <c r="Q65" i="12"/>
  <c r="Q64" i="12"/>
  <c r="Q63" i="12"/>
  <c r="Q58" i="12"/>
  <c r="Q57" i="12"/>
  <c r="Q56" i="12"/>
  <c r="T56" i="12" s="1"/>
  <c r="AB56" i="12" s="1"/>
  <c r="N56" i="12" s="1"/>
  <c r="S56" i="12" s="1"/>
  <c r="Q55" i="12"/>
  <c r="Q34" i="12"/>
  <c r="Q33" i="12"/>
  <c r="Q32" i="12"/>
  <c r="Q31" i="12"/>
  <c r="Q26" i="12"/>
  <c r="Q25" i="12"/>
  <c r="Q24" i="12"/>
  <c r="Q23" i="12"/>
  <c r="P74" i="12"/>
  <c r="P73" i="12"/>
  <c r="P72" i="12"/>
  <c r="P71" i="12"/>
  <c r="P66" i="12"/>
  <c r="P65" i="12"/>
  <c r="P64" i="12"/>
  <c r="P63" i="12"/>
  <c r="P58" i="12"/>
  <c r="P57" i="12"/>
  <c r="P56" i="12"/>
  <c r="P55" i="12"/>
  <c r="P34" i="12"/>
  <c r="P33" i="12"/>
  <c r="P32" i="12"/>
  <c r="P31" i="12"/>
  <c r="P26" i="12"/>
  <c r="P25" i="12"/>
  <c r="P24" i="12"/>
  <c r="P23" i="12"/>
  <c r="O74" i="12"/>
  <c r="O73" i="12"/>
  <c r="O72" i="12"/>
  <c r="O71" i="12"/>
  <c r="O66" i="12"/>
  <c r="O65" i="12"/>
  <c r="O64" i="12"/>
  <c r="O63" i="12"/>
  <c r="O58" i="12"/>
  <c r="O57" i="12"/>
  <c r="O34" i="12"/>
  <c r="O33" i="12"/>
  <c r="O32" i="12"/>
  <c r="O31" i="12"/>
  <c r="O26" i="12"/>
  <c r="O25" i="12"/>
  <c r="O24" i="12"/>
  <c r="O23" i="12"/>
  <c r="N74" i="12"/>
  <c r="N73" i="12"/>
  <c r="N72" i="12"/>
  <c r="N66" i="12"/>
  <c r="N65" i="12"/>
  <c r="N64" i="12"/>
  <c r="N58" i="12"/>
  <c r="N57" i="12"/>
  <c r="N34" i="12"/>
  <c r="N33" i="12"/>
  <c r="N32" i="12"/>
  <c r="N31" i="12"/>
  <c r="N26" i="12"/>
  <c r="N25" i="12"/>
  <c r="N24" i="12"/>
  <c r="N23" i="12"/>
  <c r="L74" i="12"/>
  <c r="L73" i="12"/>
  <c r="L72" i="12"/>
  <c r="L71" i="12"/>
  <c r="L66" i="12"/>
  <c r="L65" i="12"/>
  <c r="L64" i="12"/>
  <c r="L63" i="12"/>
  <c r="L58" i="12"/>
  <c r="L57" i="12"/>
  <c r="L56" i="12"/>
  <c r="L55" i="12"/>
  <c r="L34" i="12"/>
  <c r="L33" i="12"/>
  <c r="L32" i="12"/>
  <c r="L31" i="12"/>
  <c r="L26" i="12"/>
  <c r="L25" i="12"/>
  <c r="L24" i="12"/>
  <c r="L23" i="12"/>
  <c r="Q15" i="12"/>
  <c r="AA56" i="12" l="1"/>
  <c r="Z56" i="12"/>
  <c r="O56" i="12"/>
  <c r="AC56" i="12"/>
  <c r="X56" i="12" s="1"/>
  <c r="Y56" i="12"/>
  <c r="U56" i="12"/>
  <c r="AH34" i="12"/>
  <c r="O16" i="12"/>
  <c r="O17" i="12"/>
  <c r="AC17" i="12" s="1"/>
  <c r="O55" i="12"/>
  <c r="AC55" i="12" s="1"/>
  <c r="AD23" i="12"/>
  <c r="AH23" i="12" s="1"/>
  <c r="AH65" i="12"/>
  <c r="AF65" i="12"/>
  <c r="AH74" i="12"/>
  <c r="AF74" i="12"/>
  <c r="AF24" i="12"/>
  <c r="AH24" i="12"/>
  <c r="AF32" i="12"/>
  <c r="AH32" i="12"/>
  <c r="AH57" i="12"/>
  <c r="AF57" i="12"/>
  <c r="AH66" i="12"/>
  <c r="AF66" i="12"/>
  <c r="AF23" i="12"/>
  <c r="AF31" i="12"/>
  <c r="AH31" i="12"/>
  <c r="AF25" i="12"/>
  <c r="AH25" i="12"/>
  <c r="AF33" i="12"/>
  <c r="AH33" i="12"/>
  <c r="AH58" i="12"/>
  <c r="AF58" i="12"/>
  <c r="AH72" i="12"/>
  <c r="AF72" i="12"/>
  <c r="AF26" i="12"/>
  <c r="AH26" i="12"/>
  <c r="AH64" i="12"/>
  <c r="AF64" i="12"/>
  <c r="AH73" i="12"/>
  <c r="AF73" i="12"/>
  <c r="AI51" i="12"/>
  <c r="E50" i="20" s="1"/>
  <c r="X6" i="12"/>
  <c r="R55" i="12"/>
  <c r="T55" i="12" s="1"/>
  <c r="O18" i="12"/>
  <c r="AD56" i="12" l="1"/>
  <c r="AE56" i="12" s="1"/>
  <c r="V56" i="12"/>
  <c r="W56" i="12"/>
  <c r="X55" i="12"/>
  <c r="AC16" i="12"/>
  <c r="Y55" i="12"/>
  <c r="AC18" i="12"/>
  <c r="U55" i="12"/>
  <c r="AH56" i="12" l="1"/>
  <c r="AI56" i="12" s="1"/>
  <c r="AF56" i="12"/>
  <c r="AD55" i="12"/>
  <c r="AE55" i="12" s="1"/>
  <c r="W55" i="12"/>
  <c r="V55" i="12"/>
  <c r="K15" i="12"/>
  <c r="P15" i="12"/>
  <c r="G12" i="13"/>
  <c r="G11" i="13"/>
  <c r="G10" i="13"/>
  <c r="G9" i="13"/>
  <c r="G8" i="13"/>
  <c r="G7" i="13"/>
  <c r="G6" i="13"/>
  <c r="G5" i="13"/>
  <c r="G4" i="13"/>
  <c r="G13" i="13"/>
  <c r="G14" i="13"/>
  <c r="G15" i="13"/>
  <c r="L6" i="15"/>
  <c r="O6" i="15"/>
  <c r="L7" i="15"/>
  <c r="O7" i="15"/>
  <c r="L8" i="15"/>
  <c r="O8" i="15"/>
  <c r="P8" i="15"/>
  <c r="Q8" i="15"/>
  <c r="Z8" i="15"/>
  <c r="Y8" i="15" s="1"/>
  <c r="X8" i="15" s="1"/>
  <c r="L9" i="15"/>
  <c r="O9" i="15"/>
  <c r="P9" i="15"/>
  <c r="Q9" i="15"/>
  <c r="Z9" i="15"/>
  <c r="Y9" i="15" s="1"/>
  <c r="X9" i="15" s="1"/>
  <c r="L10" i="15"/>
  <c r="O10" i="15"/>
  <c r="L11" i="15"/>
  <c r="N11" i="15"/>
  <c r="O11" i="15"/>
  <c r="P11" i="15"/>
  <c r="Q11" i="15"/>
  <c r="R11" i="15"/>
  <c r="Z11" i="15"/>
  <c r="N10" i="15" l="1"/>
  <c r="AA10" i="15" s="1"/>
  <c r="AD10" i="15" s="1"/>
  <c r="W9" i="15"/>
  <c r="W8" i="15"/>
  <c r="N7" i="15"/>
  <c r="AA7" i="15" s="1"/>
  <c r="AI21" i="15" s="1"/>
  <c r="N9" i="15"/>
  <c r="V9" i="15" s="1"/>
  <c r="N8" i="15"/>
  <c r="AA8" i="15" s="1"/>
  <c r="N6" i="15"/>
  <c r="AA6" i="15" s="1"/>
  <c r="R8" i="15"/>
  <c r="AH55" i="12"/>
  <c r="AI55" i="12" s="1"/>
  <c r="AI59" i="12" s="1"/>
  <c r="E49" i="20" s="1"/>
  <c r="AF55" i="12"/>
  <c r="R9" i="15"/>
  <c r="S11" i="15"/>
  <c r="T11" i="15"/>
  <c r="E213" i="8"/>
  <c r="D213" i="8"/>
  <c r="V8" i="15" l="1"/>
  <c r="T8" i="15" s="1"/>
  <c r="U8" i="15"/>
  <c r="AB8" i="15" s="1"/>
  <c r="U10" i="15"/>
  <c r="AI23" i="15"/>
  <c r="T9" i="15"/>
  <c r="AA9" i="15"/>
  <c r="AI20" i="15" s="1"/>
  <c r="AC11" i="15"/>
  <c r="AG22" i="15"/>
  <c r="T21" i="15"/>
  <c r="T20" i="15"/>
  <c r="T13" i="15"/>
  <c r="S21" i="15"/>
  <c r="S20" i="15"/>
  <c r="S13" i="15"/>
  <c r="Q21" i="15"/>
  <c r="Q20" i="15"/>
  <c r="Q13" i="15"/>
  <c r="P21" i="15"/>
  <c r="P20" i="15"/>
  <c r="P13" i="15"/>
  <c r="S8" i="15" l="1"/>
  <c r="U9" i="15"/>
  <c r="AB9" i="15" s="1"/>
  <c r="AC8" i="15"/>
  <c r="AH22" i="15"/>
  <c r="M94" i="16"/>
  <c r="F94" i="16" s="1"/>
  <c r="Q144" i="8" s="1"/>
  <c r="M93" i="16"/>
  <c r="F93" i="16" s="1"/>
  <c r="P144" i="8" s="1"/>
  <c r="M92" i="16"/>
  <c r="F92" i="16" s="1"/>
  <c r="O144" i="8" s="1"/>
  <c r="M91" i="16"/>
  <c r="F91" i="16" s="1"/>
  <c r="N144" i="8" s="1"/>
  <c r="M90" i="16"/>
  <c r="F90" i="16" s="1"/>
  <c r="M144" i="8" s="1"/>
  <c r="M89" i="16"/>
  <c r="F89" i="16" s="1"/>
  <c r="L144" i="8" s="1"/>
  <c r="M88" i="16"/>
  <c r="F88" i="16" s="1"/>
  <c r="K144" i="8" s="1"/>
  <c r="M87" i="16"/>
  <c r="F87" i="16" s="1"/>
  <c r="J144" i="8" s="1"/>
  <c r="M86" i="16"/>
  <c r="F86" i="16" s="1"/>
  <c r="I144" i="8" s="1"/>
  <c r="M85" i="16"/>
  <c r="F85" i="16" s="1"/>
  <c r="H144" i="8" s="1"/>
  <c r="M84" i="16"/>
  <c r="F84" i="16" s="1"/>
  <c r="G144" i="8" s="1"/>
  <c r="M83" i="16"/>
  <c r="M78" i="16"/>
  <c r="M77" i="16"/>
  <c r="M76" i="16"/>
  <c r="F76" i="16" s="1"/>
  <c r="O75" i="8" s="1"/>
  <c r="M75" i="16"/>
  <c r="F75" i="16" s="1"/>
  <c r="N75" i="8" s="1"/>
  <c r="M74" i="16"/>
  <c r="F74" i="16" s="1"/>
  <c r="M75" i="8" s="1"/>
  <c r="M73" i="16"/>
  <c r="F73" i="16" s="1"/>
  <c r="L75" i="8" s="1"/>
  <c r="M72" i="16"/>
  <c r="F72" i="16" s="1"/>
  <c r="K75" i="8" s="1"/>
  <c r="M71" i="16"/>
  <c r="F71" i="16" s="1"/>
  <c r="J75" i="8" s="1"/>
  <c r="M70" i="16"/>
  <c r="F70" i="16" s="1"/>
  <c r="I75" i="8" s="1"/>
  <c r="M69" i="16"/>
  <c r="F69" i="16" s="1"/>
  <c r="H75" i="8" s="1"/>
  <c r="M68" i="16"/>
  <c r="M62" i="16"/>
  <c r="F62" i="16" s="1"/>
  <c r="Q167" i="8" s="1"/>
  <c r="M61" i="16"/>
  <c r="F61" i="16" s="1"/>
  <c r="P167" i="8" s="1"/>
  <c r="M60" i="16"/>
  <c r="F60" i="16" s="1"/>
  <c r="O167" i="8" s="1"/>
  <c r="M59" i="16"/>
  <c r="F59" i="16" s="1"/>
  <c r="N167" i="8" s="1"/>
  <c r="M58" i="16"/>
  <c r="F58" i="16" s="1"/>
  <c r="M167" i="8" s="1"/>
  <c r="M57" i="16"/>
  <c r="F57" i="16" s="1"/>
  <c r="L167" i="8" s="1"/>
  <c r="M56" i="16"/>
  <c r="F56" i="16" s="1"/>
  <c r="K167" i="8" s="1"/>
  <c r="M55" i="16"/>
  <c r="F55" i="16" s="1"/>
  <c r="J167" i="8" s="1"/>
  <c r="M54" i="16"/>
  <c r="F54" i="16" s="1"/>
  <c r="I167" i="8" s="1"/>
  <c r="M53" i="16"/>
  <c r="F53" i="16" s="1"/>
  <c r="H167" i="8" s="1"/>
  <c r="M52" i="16"/>
  <c r="F52" i="16" s="1"/>
  <c r="G167" i="8" s="1"/>
  <c r="M51" i="16"/>
  <c r="M46" i="16"/>
  <c r="F46" i="16" s="1"/>
  <c r="Q168" i="8" s="1"/>
  <c r="M45" i="16"/>
  <c r="F45" i="16" s="1"/>
  <c r="P168" i="8" s="1"/>
  <c r="M44" i="16"/>
  <c r="F44" i="16" s="1"/>
  <c r="O168" i="8" s="1"/>
  <c r="M43" i="16"/>
  <c r="F43" i="16" s="1"/>
  <c r="N168" i="8" s="1"/>
  <c r="M42" i="16"/>
  <c r="F42" i="16" s="1"/>
  <c r="M168" i="8" s="1"/>
  <c r="M41" i="16"/>
  <c r="F41" i="16" s="1"/>
  <c r="L168" i="8" s="1"/>
  <c r="M40" i="16"/>
  <c r="F40" i="16" s="1"/>
  <c r="K168" i="8" s="1"/>
  <c r="M39" i="16"/>
  <c r="F39" i="16" s="1"/>
  <c r="J168" i="8" s="1"/>
  <c r="M38" i="16"/>
  <c r="F38" i="16" s="1"/>
  <c r="I168" i="8" s="1"/>
  <c r="M37" i="16"/>
  <c r="F37" i="16" s="1"/>
  <c r="H168" i="8" s="1"/>
  <c r="M36" i="16"/>
  <c r="F36" i="16" s="1"/>
  <c r="G168" i="8" s="1"/>
  <c r="M35" i="16"/>
  <c r="F78" i="16"/>
  <c r="Q75" i="8" s="1"/>
  <c r="F77" i="16"/>
  <c r="P75" i="8" s="1"/>
  <c r="M30" i="16"/>
  <c r="F30" i="16" s="1"/>
  <c r="Q143" i="8" s="1"/>
  <c r="M29" i="16"/>
  <c r="F29" i="16" s="1"/>
  <c r="P143" i="8" s="1"/>
  <c r="M28" i="16"/>
  <c r="F28" i="16" s="1"/>
  <c r="O143" i="8" s="1"/>
  <c r="M27" i="16"/>
  <c r="F27" i="16" s="1"/>
  <c r="N143" i="8" s="1"/>
  <c r="M26" i="16"/>
  <c r="F26" i="16" s="1"/>
  <c r="M143" i="8" s="1"/>
  <c r="M25" i="16"/>
  <c r="F25" i="16" s="1"/>
  <c r="L143" i="8" s="1"/>
  <c r="M24" i="16"/>
  <c r="F24" i="16" s="1"/>
  <c r="K143" i="8" s="1"/>
  <c r="M23" i="16"/>
  <c r="F23" i="16" s="1"/>
  <c r="J143" i="8" s="1"/>
  <c r="M22" i="16"/>
  <c r="F22" i="16" s="1"/>
  <c r="I143" i="8" s="1"/>
  <c r="M21" i="16"/>
  <c r="F21" i="16" s="1"/>
  <c r="H143" i="8" s="1"/>
  <c r="M20" i="16"/>
  <c r="F20" i="16" s="1"/>
  <c r="G143" i="8" s="1"/>
  <c r="M19" i="16"/>
  <c r="F19" i="16" s="1"/>
  <c r="M14" i="16"/>
  <c r="F14" i="16" s="1"/>
  <c r="Q74" i="8" s="1"/>
  <c r="M13" i="16"/>
  <c r="F13" i="16" s="1"/>
  <c r="P74" i="8" s="1"/>
  <c r="M12" i="16"/>
  <c r="F12" i="16" s="1"/>
  <c r="O74" i="8" s="1"/>
  <c r="M11" i="16"/>
  <c r="F11" i="16" s="1"/>
  <c r="N74" i="8" s="1"/>
  <c r="M10" i="16"/>
  <c r="F10" i="16" s="1"/>
  <c r="M74" i="8" s="1"/>
  <c r="M9" i="16"/>
  <c r="F9" i="16" s="1"/>
  <c r="L74" i="8" s="1"/>
  <c r="M8" i="16"/>
  <c r="F8" i="16" s="1"/>
  <c r="K74" i="8" s="1"/>
  <c r="M7" i="16"/>
  <c r="F7" i="16" s="1"/>
  <c r="J74" i="8" s="1"/>
  <c r="M6" i="16"/>
  <c r="F6" i="16" s="1"/>
  <c r="I74" i="8" s="1"/>
  <c r="M5" i="16"/>
  <c r="F5" i="16" s="1"/>
  <c r="H74" i="8" s="1"/>
  <c r="M4" i="16"/>
  <c r="F4" i="16" s="1"/>
  <c r="G74" i="8" s="1"/>
  <c r="M3" i="16"/>
  <c r="L12" i="15"/>
  <c r="L13" i="15"/>
  <c r="L20" i="15"/>
  <c r="L21" i="15"/>
  <c r="I10" i="12"/>
  <c r="I9" i="12"/>
  <c r="I8" i="12"/>
  <c r="I7" i="12"/>
  <c r="I6" i="12"/>
  <c r="I5" i="12"/>
  <c r="M5" i="12"/>
  <c r="L5" i="12"/>
  <c r="A26" i="5"/>
  <c r="M95" i="16" l="1"/>
  <c r="M47" i="16"/>
  <c r="M63" i="16"/>
  <c r="F68" i="16"/>
  <c r="G75" i="8" s="1"/>
  <c r="M79" i="16"/>
  <c r="F3" i="16"/>
  <c r="M15" i="16"/>
  <c r="F143" i="8"/>
  <c r="F31" i="16"/>
  <c r="S9" i="15"/>
  <c r="AD8" i="15"/>
  <c r="AC9" i="15"/>
  <c r="Q5" i="12"/>
  <c r="O5" i="12" s="1"/>
  <c r="R7" i="12"/>
  <c r="T7" i="12"/>
  <c r="AB7" i="12"/>
  <c r="N7" i="12" s="1"/>
  <c r="S7" i="12" s="1"/>
  <c r="Q7" i="12"/>
  <c r="O7" i="12" s="1"/>
  <c r="AB8" i="12"/>
  <c r="N8" i="12" s="1"/>
  <c r="S8" i="12" s="1"/>
  <c r="Q8" i="12"/>
  <c r="O8" i="12" s="1"/>
  <c r="R8" i="12"/>
  <c r="T8" i="12"/>
  <c r="AB9" i="12"/>
  <c r="N9" i="12" s="1"/>
  <c r="S9" i="12" s="1"/>
  <c r="Q9" i="12"/>
  <c r="O9" i="12" s="1"/>
  <c r="T9" i="12"/>
  <c r="R9" i="12"/>
  <c r="T6" i="12"/>
  <c r="R6" i="12"/>
  <c r="AB6" i="12"/>
  <c r="N6" i="12" s="1"/>
  <c r="S6" i="12" s="1"/>
  <c r="Q6" i="12"/>
  <c r="O6" i="12" s="1"/>
  <c r="T10" i="12"/>
  <c r="R10" i="12"/>
  <c r="AB10" i="12"/>
  <c r="N10" i="12" s="1"/>
  <c r="S10" i="12" s="1"/>
  <c r="Q10" i="12"/>
  <c r="O10" i="12" s="1"/>
  <c r="F83" i="16"/>
  <c r="F95" i="16" s="1"/>
  <c r="F67" i="16"/>
  <c r="F79" i="16" s="1"/>
  <c r="F51" i="16"/>
  <c r="F63" i="16" s="1"/>
  <c r="F35" i="16"/>
  <c r="F47" i="16" s="1"/>
  <c r="A5" i="12"/>
  <c r="R5" i="12" s="1"/>
  <c r="F74" i="8" l="1"/>
  <c r="F15" i="16"/>
  <c r="AE8" i="15"/>
  <c r="AH8" i="15" s="1"/>
  <c r="AG8" i="15"/>
  <c r="AD9" i="15"/>
  <c r="T5" i="12"/>
  <c r="U8" i="12"/>
  <c r="W8" i="12" s="1"/>
  <c r="U9" i="12"/>
  <c r="V9" i="12" s="1"/>
  <c r="U10" i="12"/>
  <c r="V10" i="12" s="1"/>
  <c r="U6" i="12"/>
  <c r="U7" i="12"/>
  <c r="F167" i="8"/>
  <c r="E167" i="8" s="1"/>
  <c r="F144" i="8"/>
  <c r="E144" i="8" s="1"/>
  <c r="F75" i="8"/>
  <c r="E75" i="8" s="1"/>
  <c r="D92" i="2" s="1"/>
  <c r="F168" i="8"/>
  <c r="E168" i="8" s="1"/>
  <c r="A7" i="15"/>
  <c r="P7" i="15" s="1"/>
  <c r="Q7" i="15" s="1"/>
  <c r="A8" i="15"/>
  <c r="A9" i="15"/>
  <c r="A10" i="15"/>
  <c r="P10" i="15" s="1"/>
  <c r="Q10" i="15" s="1"/>
  <c r="A11" i="15"/>
  <c r="A12" i="15"/>
  <c r="P12" i="15" s="1"/>
  <c r="A13" i="15"/>
  <c r="A14" i="15"/>
  <c r="A15" i="15"/>
  <c r="A6" i="15"/>
  <c r="P6" i="15" s="1"/>
  <c r="Q6" i="15" s="1"/>
  <c r="U6" i="15" s="1"/>
  <c r="O12" i="15"/>
  <c r="O13" i="15"/>
  <c r="N13" i="15" s="1"/>
  <c r="O20" i="15"/>
  <c r="N21" i="15"/>
  <c r="O21" i="15"/>
  <c r="R21" i="15"/>
  <c r="Z21" i="15"/>
  <c r="AC21" i="15"/>
  <c r="AE9" i="15" l="1"/>
  <c r="AH9" i="15" s="1"/>
  <c r="AG9" i="15"/>
  <c r="V7" i="15"/>
  <c r="U7" i="15"/>
  <c r="R10" i="15"/>
  <c r="AB10" i="15" s="1"/>
  <c r="Z10" i="15"/>
  <c r="Y10" i="15" s="1"/>
  <c r="X10" i="15" s="1"/>
  <c r="N12" i="15"/>
  <c r="U5" i="12"/>
  <c r="AB5" i="12"/>
  <c r="N5" i="12" s="1"/>
  <c r="S5" i="12" s="1"/>
  <c r="Y5" i="12" s="1"/>
  <c r="Q12" i="15"/>
  <c r="R12" i="15" s="1"/>
  <c r="V8" i="12"/>
  <c r="R7" i="15"/>
  <c r="W6" i="12"/>
  <c r="W9" i="12"/>
  <c r="W10" i="12"/>
  <c r="V6" i="12"/>
  <c r="V7" i="12"/>
  <c r="W7" i="12"/>
  <c r="R6" i="15"/>
  <c r="AB6" i="15" s="1"/>
  <c r="P22" i="16"/>
  <c r="P27" i="16"/>
  <c r="I19" i="16"/>
  <c r="I23" i="16"/>
  <c r="I28" i="16"/>
  <c r="I29" i="16"/>
  <c r="I27" i="16"/>
  <c r="P19" i="16"/>
  <c r="P23" i="16"/>
  <c r="P28" i="16"/>
  <c r="I20" i="16"/>
  <c r="I24" i="16"/>
  <c r="P30" i="16"/>
  <c r="P20" i="16"/>
  <c r="P24" i="16"/>
  <c r="P29" i="16"/>
  <c r="I21" i="16"/>
  <c r="I30" i="16"/>
  <c r="P21" i="16"/>
  <c r="I22" i="16"/>
  <c r="P25" i="16"/>
  <c r="J30" i="16"/>
  <c r="R29" i="16"/>
  <c r="J28" i="16"/>
  <c r="R27" i="16"/>
  <c r="J26" i="16"/>
  <c r="R25" i="16"/>
  <c r="L25" i="16"/>
  <c r="J24" i="16"/>
  <c r="R23" i="16"/>
  <c r="L23" i="16"/>
  <c r="J22" i="16"/>
  <c r="R21" i="16"/>
  <c r="L21" i="16"/>
  <c r="J20" i="16"/>
  <c r="R19" i="16"/>
  <c r="L19" i="16"/>
  <c r="Q28" i="16"/>
  <c r="S25" i="16"/>
  <c r="Q24" i="16"/>
  <c r="S21" i="16"/>
  <c r="Q20" i="16"/>
  <c r="Q29" i="16"/>
  <c r="Q27" i="16"/>
  <c r="K27" i="16"/>
  <c r="Q25" i="16"/>
  <c r="K25" i="16"/>
  <c r="S24" i="16"/>
  <c r="Q23" i="16"/>
  <c r="K23" i="16"/>
  <c r="S22" i="16"/>
  <c r="Q21" i="16"/>
  <c r="K21" i="16"/>
  <c r="S20" i="16"/>
  <c r="Q19" i="16"/>
  <c r="K19" i="16"/>
  <c r="Q30" i="16"/>
  <c r="Q26" i="16"/>
  <c r="K24" i="16"/>
  <c r="K22" i="16"/>
  <c r="S19" i="16"/>
  <c r="R30" i="16"/>
  <c r="J29" i="16"/>
  <c r="R28" i="16"/>
  <c r="J27" i="16"/>
  <c r="R26" i="16"/>
  <c r="J25" i="16"/>
  <c r="R24" i="16"/>
  <c r="L24" i="16"/>
  <c r="J23" i="16"/>
  <c r="R22" i="16"/>
  <c r="L22" i="16"/>
  <c r="J21" i="16"/>
  <c r="R20" i="16"/>
  <c r="L20" i="16"/>
  <c r="J19" i="16"/>
  <c r="K30" i="16"/>
  <c r="K28" i="16"/>
  <c r="S23" i="16"/>
  <c r="Q22" i="16"/>
  <c r="K20" i="16"/>
  <c r="N20" i="15"/>
  <c r="B22" i="15"/>
  <c r="R20" i="15"/>
  <c r="AB7" i="15" l="1"/>
  <c r="W5" i="12"/>
  <c r="S10" i="15"/>
  <c r="AC10" i="15"/>
  <c r="AE10" i="15" s="1"/>
  <c r="W10" i="15"/>
  <c r="AJ23" i="15" s="1"/>
  <c r="V10" i="15"/>
  <c r="T10" i="15" s="1"/>
  <c r="V12" i="15"/>
  <c r="T12" i="15" s="1"/>
  <c r="AA12" i="15"/>
  <c r="AD12" i="15" s="1"/>
  <c r="AI25" i="15"/>
  <c r="H78" i="14"/>
  <c r="D78" i="14" s="1"/>
  <c r="H70" i="14"/>
  <c r="D70" i="14" s="1"/>
  <c r="K72" i="14"/>
  <c r="E72" i="14" s="1"/>
  <c r="K73" i="14"/>
  <c r="E73" i="14" s="1"/>
  <c r="H71" i="14"/>
  <c r="D71" i="14" s="1"/>
  <c r="H76" i="14"/>
  <c r="D76" i="14" s="1"/>
  <c r="H77" i="14"/>
  <c r="D77" i="14" s="1"/>
  <c r="K79" i="14"/>
  <c r="E79" i="14" s="1"/>
  <c r="K71" i="14"/>
  <c r="E71" i="14" s="1"/>
  <c r="K78" i="14"/>
  <c r="E78" i="14" s="1"/>
  <c r="K80" i="14"/>
  <c r="E80" i="14" s="1"/>
  <c r="H74" i="14"/>
  <c r="D74" i="14" s="1"/>
  <c r="H73" i="14"/>
  <c r="D73" i="14" s="1"/>
  <c r="K77" i="14"/>
  <c r="E77" i="14" s="1"/>
  <c r="H79" i="14"/>
  <c r="D79" i="14" s="1"/>
  <c r="K74" i="14"/>
  <c r="E74" i="14" s="1"/>
  <c r="H80" i="14"/>
  <c r="D80" i="14" s="1"/>
  <c r="H72" i="14"/>
  <c r="D72" i="14" s="1"/>
  <c r="K76" i="14"/>
  <c r="E76" i="14" s="1"/>
  <c r="K70" i="14"/>
  <c r="E70" i="14" s="1"/>
  <c r="S7" i="15"/>
  <c r="T7" i="15"/>
  <c r="S6" i="15"/>
  <c r="P26" i="16"/>
  <c r="D21" i="16"/>
  <c r="H141" i="8" s="1"/>
  <c r="D19" i="16"/>
  <c r="F141" i="8" s="1"/>
  <c r="S27" i="16"/>
  <c r="E27" i="16" s="1"/>
  <c r="S28" i="16"/>
  <c r="E28" i="16" s="1"/>
  <c r="S29" i="16"/>
  <c r="E29" i="16" s="1"/>
  <c r="S26" i="16"/>
  <c r="S30" i="16"/>
  <c r="L26" i="16"/>
  <c r="L29" i="16"/>
  <c r="L27" i="16"/>
  <c r="D27" i="16" s="1"/>
  <c r="N141" i="8" s="1"/>
  <c r="L30" i="16"/>
  <c r="D30" i="16" s="1"/>
  <c r="Q141" i="8" s="1"/>
  <c r="K29" i="16"/>
  <c r="K26" i="16"/>
  <c r="D23" i="16"/>
  <c r="J141" i="8" s="1"/>
  <c r="I26" i="16"/>
  <c r="D20" i="16"/>
  <c r="G141" i="8" s="1"/>
  <c r="D24" i="16"/>
  <c r="K141" i="8" s="1"/>
  <c r="D22" i="16"/>
  <c r="I141" i="8" s="1"/>
  <c r="E24" i="16"/>
  <c r="E22" i="16"/>
  <c r="E19" i="16"/>
  <c r="E21" i="16"/>
  <c r="E23" i="16"/>
  <c r="E25" i="16"/>
  <c r="E20" i="16"/>
  <c r="Q31" i="16"/>
  <c r="M31" i="16"/>
  <c r="J31" i="16"/>
  <c r="R31" i="16"/>
  <c r="R13" i="15"/>
  <c r="Z13" i="15"/>
  <c r="Z20" i="15"/>
  <c r="AC13" i="15"/>
  <c r="AI24" i="15" l="1"/>
  <c r="U12" i="15"/>
  <c r="AH10" i="15"/>
  <c r="AG10" i="15"/>
  <c r="AG12" i="15"/>
  <c r="AG25" i="15" s="1"/>
  <c r="AC6" i="15"/>
  <c r="AC7" i="15"/>
  <c r="E26" i="16"/>
  <c r="S31" i="16"/>
  <c r="K31" i="16"/>
  <c r="D29" i="16"/>
  <c r="P141" i="8" s="1"/>
  <c r="E30" i="16"/>
  <c r="D26" i="16"/>
  <c r="M141" i="8" s="1"/>
  <c r="I25" i="16"/>
  <c r="D25" i="16" s="1"/>
  <c r="L141" i="8" s="1"/>
  <c r="L28" i="16"/>
  <c r="P31" i="16"/>
  <c r="AC20" i="15"/>
  <c r="AD5" i="12"/>
  <c r="A67" i="12"/>
  <c r="T71" i="12"/>
  <c r="A59" i="12"/>
  <c r="T63" i="12"/>
  <c r="A34" i="12"/>
  <c r="A33" i="12"/>
  <c r="A32" i="12"/>
  <c r="A31" i="12"/>
  <c r="A26" i="12"/>
  <c r="A25" i="12"/>
  <c r="A24" i="12"/>
  <c r="A23" i="12"/>
  <c r="A15" i="12"/>
  <c r="A16" i="12"/>
  <c r="R16" i="12" s="1"/>
  <c r="T16" i="12" s="1"/>
  <c r="A17" i="12"/>
  <c r="A18" i="12"/>
  <c r="F15" i="13"/>
  <c r="F14" i="13"/>
  <c r="F13" i="13"/>
  <c r="F12" i="13"/>
  <c r="F11" i="13"/>
  <c r="F10" i="13"/>
  <c r="F9" i="13"/>
  <c r="F8" i="13"/>
  <c r="F7" i="13"/>
  <c r="F6" i="13"/>
  <c r="F5" i="13"/>
  <c r="F4" i="13"/>
  <c r="Z12" i="15" l="1"/>
  <c r="S42" i="16" s="1"/>
  <c r="AD7" i="15"/>
  <c r="AE7" i="15" s="1"/>
  <c r="AH7" i="15" s="1"/>
  <c r="AH21" i="15" s="1"/>
  <c r="AD6" i="15"/>
  <c r="AB12" i="15"/>
  <c r="AC12" i="15" s="1"/>
  <c r="AE12" i="15" s="1"/>
  <c r="AH12" i="15" s="1"/>
  <c r="S12" i="15"/>
  <c r="L44" i="16" s="1"/>
  <c r="AG24" i="15"/>
  <c r="S44" i="16"/>
  <c r="L42" i="16"/>
  <c r="I46" i="16"/>
  <c r="K44" i="16"/>
  <c r="I40" i="16"/>
  <c r="K38" i="16"/>
  <c r="P35" i="16"/>
  <c r="Q43" i="16"/>
  <c r="I39" i="16"/>
  <c r="K42" i="16"/>
  <c r="J46" i="16"/>
  <c r="I37" i="16"/>
  <c r="K43" i="16"/>
  <c r="R36" i="16"/>
  <c r="I44" i="16"/>
  <c r="I38" i="16"/>
  <c r="P40" i="16"/>
  <c r="K46" i="16"/>
  <c r="S38" i="16"/>
  <c r="K45" i="16"/>
  <c r="R38" i="16"/>
  <c r="Q37" i="16"/>
  <c r="J42" i="16"/>
  <c r="P46" i="16"/>
  <c r="P45" i="16"/>
  <c r="R43" i="16"/>
  <c r="P39" i="16"/>
  <c r="R37" i="16"/>
  <c r="J35" i="16"/>
  <c r="R42" i="16"/>
  <c r="J38" i="16"/>
  <c r="Q40" i="16"/>
  <c r="R44" i="16"/>
  <c r="Q35" i="16"/>
  <c r="S39" i="16"/>
  <c r="I35" i="16"/>
  <c r="Q42" i="16"/>
  <c r="Q36" i="16"/>
  <c r="K39" i="16"/>
  <c r="J43" i="16"/>
  <c r="J37" i="16"/>
  <c r="P42" i="16"/>
  <c r="P36" i="16"/>
  <c r="R45" i="16"/>
  <c r="K40" i="16"/>
  <c r="J45" i="16"/>
  <c r="I42" i="16"/>
  <c r="J39" i="16"/>
  <c r="S36" i="16"/>
  <c r="R46" i="16"/>
  <c r="S41" i="16"/>
  <c r="K37" i="16"/>
  <c r="P37" i="16"/>
  <c r="J41" i="16"/>
  <c r="I45" i="16"/>
  <c r="P38" i="16"/>
  <c r="Q46" i="16"/>
  <c r="K41" i="16"/>
  <c r="Q45" i="16"/>
  <c r="S37" i="16"/>
  <c r="R41" i="16"/>
  <c r="R35" i="16"/>
  <c r="Q41" i="16"/>
  <c r="K35" i="16"/>
  <c r="Q44" i="16"/>
  <c r="S40" i="16"/>
  <c r="Q38" i="16"/>
  <c r="I36" i="16"/>
  <c r="P44" i="16"/>
  <c r="R40" i="16"/>
  <c r="S35" i="16"/>
  <c r="K36" i="16"/>
  <c r="Q39" i="16"/>
  <c r="J44" i="16"/>
  <c r="R39" i="16"/>
  <c r="J36" i="16"/>
  <c r="J40" i="16"/>
  <c r="P41" i="16"/>
  <c r="P43" i="16"/>
  <c r="S43" i="16"/>
  <c r="S45" i="16"/>
  <c r="L46" i="16"/>
  <c r="L39" i="16"/>
  <c r="S46" i="16"/>
  <c r="AG7" i="15"/>
  <c r="AG21" i="15" s="1"/>
  <c r="Y16" i="12"/>
  <c r="X16" i="12"/>
  <c r="I52" i="16"/>
  <c r="Y12" i="15"/>
  <c r="X12" i="15" s="1"/>
  <c r="W12" i="15" s="1"/>
  <c r="P57" i="16"/>
  <c r="S62" i="16"/>
  <c r="K60" i="16"/>
  <c r="I58" i="16"/>
  <c r="J55" i="16"/>
  <c r="L53" i="16"/>
  <c r="R62" i="16"/>
  <c r="J60" i="16"/>
  <c r="L58" i="16"/>
  <c r="L56" i="16"/>
  <c r="J54" i="16"/>
  <c r="S51" i="16"/>
  <c r="I60" i="16"/>
  <c r="L55" i="16"/>
  <c r="P62" i="16"/>
  <c r="P58" i="16"/>
  <c r="L54" i="16"/>
  <c r="Q62" i="16"/>
  <c r="J59" i="16"/>
  <c r="R55" i="16"/>
  <c r="K52" i="16"/>
  <c r="S59" i="16"/>
  <c r="J56" i="16"/>
  <c r="J52" i="16"/>
  <c r="P55" i="16"/>
  <c r="R58" i="16"/>
  <c r="L61" i="16"/>
  <c r="L60" i="16"/>
  <c r="P59" i="16"/>
  <c r="K61" i="16"/>
  <c r="I62" i="16"/>
  <c r="R59" i="16"/>
  <c r="S56" i="16"/>
  <c r="Q54" i="16"/>
  <c r="S52" i="16"/>
  <c r="L62" i="16"/>
  <c r="Q59" i="16"/>
  <c r="S57" i="16"/>
  <c r="S55" i="16"/>
  <c r="Q53" i="16"/>
  <c r="I51" i="16"/>
  <c r="Q58" i="16"/>
  <c r="I54" i="16"/>
  <c r="Q61" i="16"/>
  <c r="Q57" i="16"/>
  <c r="I53" i="16"/>
  <c r="R61" i="16"/>
  <c r="K58" i="16"/>
  <c r="S54" i="16"/>
  <c r="L51" i="16"/>
  <c r="I59" i="16"/>
  <c r="K55" i="16"/>
  <c r="K51" i="16"/>
  <c r="R53" i="16"/>
  <c r="R56" i="16"/>
  <c r="R52" i="16"/>
  <c r="R51" i="16"/>
  <c r="L52" i="16"/>
  <c r="J53" i="16"/>
  <c r="S53" i="16"/>
  <c r="J61" i="16"/>
  <c r="L59" i="16"/>
  <c r="I56" i="16"/>
  <c r="K54" i="16"/>
  <c r="P51" i="16"/>
  <c r="S61" i="16"/>
  <c r="K59" i="16"/>
  <c r="L57" i="16"/>
  <c r="I55" i="16"/>
  <c r="K53" i="16"/>
  <c r="K62" i="16"/>
  <c r="R57" i="16"/>
  <c r="Q52" i="16"/>
  <c r="R60" i="16"/>
  <c r="P56" i="16"/>
  <c r="Q51" i="16"/>
  <c r="S60" i="16"/>
  <c r="K57" i="16"/>
  <c r="P53" i="16"/>
  <c r="J62" i="16"/>
  <c r="J58" i="16"/>
  <c r="R54" i="16"/>
  <c r="Q60" i="16"/>
  <c r="S58" i="16"/>
  <c r="J51" i="16"/>
  <c r="P60" i="16"/>
  <c r="P54" i="16"/>
  <c r="Q56" i="16"/>
  <c r="Q55" i="16"/>
  <c r="K56" i="16"/>
  <c r="J57" i="16"/>
  <c r="P52" i="16"/>
  <c r="P61" i="16"/>
  <c r="AH23" i="15"/>
  <c r="AG23" i="15"/>
  <c r="AB18" i="12"/>
  <c r="Z7" i="15"/>
  <c r="K4" i="16" s="1"/>
  <c r="R18" i="12"/>
  <c r="T18" i="12" s="1"/>
  <c r="R17" i="12"/>
  <c r="T17" i="12" s="1"/>
  <c r="U16" i="12"/>
  <c r="Z6" i="15"/>
  <c r="U63" i="12"/>
  <c r="U71" i="12"/>
  <c r="I31" i="16"/>
  <c r="D28" i="16"/>
  <c r="O141" i="8" s="1"/>
  <c r="L31" i="16"/>
  <c r="I57" i="16"/>
  <c r="I61" i="16"/>
  <c r="L15" i="12"/>
  <c r="J63" i="16" l="1"/>
  <c r="K63" i="16"/>
  <c r="K47" i="16"/>
  <c r="Y6" i="15"/>
  <c r="X6" i="15" s="1"/>
  <c r="W6" i="15" s="1"/>
  <c r="AJ20" i="15" s="1"/>
  <c r="J47" i="16"/>
  <c r="L63" i="16"/>
  <c r="AE6" i="15"/>
  <c r="AH6" i="15" s="1"/>
  <c r="AH20" i="15" s="1"/>
  <c r="AG6" i="15"/>
  <c r="L36" i="16"/>
  <c r="I41" i="16"/>
  <c r="L41" i="16"/>
  <c r="L35" i="16"/>
  <c r="L38" i="16"/>
  <c r="L43" i="16"/>
  <c r="L37" i="16"/>
  <c r="AD16" i="12"/>
  <c r="AE16" i="12" s="1"/>
  <c r="L40" i="16"/>
  <c r="I43" i="16"/>
  <c r="I47" i="16" s="1"/>
  <c r="L45" i="16"/>
  <c r="AB22" i="15"/>
  <c r="AC22" i="15"/>
  <c r="E46" i="16"/>
  <c r="D46" i="16" s="1"/>
  <c r="E45" i="16"/>
  <c r="E41" i="16"/>
  <c r="E42" i="16"/>
  <c r="D42" i="16" s="1"/>
  <c r="AH25" i="15"/>
  <c r="AH24" i="15"/>
  <c r="E38" i="16"/>
  <c r="E43" i="16"/>
  <c r="S47" i="16"/>
  <c r="E36" i="16"/>
  <c r="E39" i="16"/>
  <c r="D39" i="16" s="1"/>
  <c r="E35" i="16"/>
  <c r="P47" i="16"/>
  <c r="R47" i="16"/>
  <c r="Q47" i="16"/>
  <c r="E44" i="16"/>
  <c r="D44" i="16" s="1"/>
  <c r="E37" i="16"/>
  <c r="E40" i="16"/>
  <c r="AJ25" i="15"/>
  <c r="AJ24" i="15"/>
  <c r="V6" i="15"/>
  <c r="T6" i="15" s="1"/>
  <c r="S5" i="16"/>
  <c r="L6" i="16"/>
  <c r="J4" i="16"/>
  <c r="K8" i="16"/>
  <c r="Q11" i="16"/>
  <c r="P9" i="16"/>
  <c r="R14" i="16"/>
  <c r="L4" i="16"/>
  <c r="J8" i="16"/>
  <c r="J10" i="16"/>
  <c r="P63" i="16"/>
  <c r="Y17" i="12"/>
  <c r="X17" i="12"/>
  <c r="Y18" i="12"/>
  <c r="X18" i="12"/>
  <c r="P8" i="16"/>
  <c r="Y7" i="15"/>
  <c r="X7" i="15" s="1"/>
  <c r="W7" i="15" s="1"/>
  <c r="AJ21" i="15" s="1"/>
  <c r="E53" i="16"/>
  <c r="D53" i="16" s="1"/>
  <c r="E61" i="16"/>
  <c r="D61" i="16" s="1"/>
  <c r="K6" i="16"/>
  <c r="K3" i="16"/>
  <c r="R6" i="16"/>
  <c r="J5" i="16"/>
  <c r="Q6" i="16"/>
  <c r="Q12" i="16"/>
  <c r="E52" i="16"/>
  <c r="D52" i="16" s="1"/>
  <c r="R4" i="16"/>
  <c r="S6" i="16"/>
  <c r="L3" i="16"/>
  <c r="L5" i="16"/>
  <c r="L7" i="16"/>
  <c r="S3" i="16"/>
  <c r="J14" i="16"/>
  <c r="J6" i="16"/>
  <c r="J11" i="16"/>
  <c r="K5" i="16"/>
  <c r="K7" i="16"/>
  <c r="J12" i="16"/>
  <c r="K13" i="16"/>
  <c r="J13" i="16"/>
  <c r="Q8" i="16"/>
  <c r="Q4" i="16"/>
  <c r="S8" i="16"/>
  <c r="R3" i="16"/>
  <c r="R5" i="16"/>
  <c r="S7" i="16"/>
  <c r="S4" i="16"/>
  <c r="J3" i="16"/>
  <c r="J7" i="16"/>
  <c r="Q3" i="16"/>
  <c r="Q5" i="16"/>
  <c r="Q7" i="16"/>
  <c r="K10" i="16"/>
  <c r="L8" i="16"/>
  <c r="E60" i="16"/>
  <c r="D60" i="16" s="1"/>
  <c r="E57" i="16"/>
  <c r="D57" i="16" s="1"/>
  <c r="E51" i="16"/>
  <c r="R63" i="16"/>
  <c r="E59" i="16"/>
  <c r="D59" i="16" s="1"/>
  <c r="E55" i="16"/>
  <c r="D55" i="16" s="1"/>
  <c r="Q63" i="16"/>
  <c r="E58" i="16"/>
  <c r="D58" i="16" s="1"/>
  <c r="S63" i="16"/>
  <c r="AB17" i="12"/>
  <c r="N17" i="12" s="1"/>
  <c r="S17" i="12" s="1"/>
  <c r="E54" i="16"/>
  <c r="D54" i="16" s="1"/>
  <c r="E56" i="16"/>
  <c r="D56" i="16" s="1"/>
  <c r="E62" i="16"/>
  <c r="D62" i="16" s="1"/>
  <c r="Q10" i="16"/>
  <c r="K14" i="16"/>
  <c r="Q14" i="16"/>
  <c r="I5" i="16"/>
  <c r="K11" i="16"/>
  <c r="Q13" i="16"/>
  <c r="R8" i="16"/>
  <c r="R11" i="16"/>
  <c r="R7" i="16"/>
  <c r="R13" i="16"/>
  <c r="I8" i="16"/>
  <c r="R10" i="16"/>
  <c r="I13" i="16"/>
  <c r="I7" i="16"/>
  <c r="I10" i="16"/>
  <c r="P10" i="16"/>
  <c r="I14" i="16"/>
  <c r="I6" i="16"/>
  <c r="I12" i="16"/>
  <c r="I11" i="16"/>
  <c r="P4" i="16"/>
  <c r="I4" i="16"/>
  <c r="I3" i="16"/>
  <c r="P7" i="16"/>
  <c r="P5" i="16"/>
  <c r="P11" i="16"/>
  <c r="P12" i="16"/>
  <c r="P6" i="16"/>
  <c r="P3" i="16"/>
  <c r="P14" i="16"/>
  <c r="P13" i="16"/>
  <c r="S78" i="16"/>
  <c r="K76" i="16"/>
  <c r="I74" i="16"/>
  <c r="J71" i="16"/>
  <c r="L69" i="16"/>
  <c r="J67" i="16"/>
  <c r="J74" i="16"/>
  <c r="P68" i="16"/>
  <c r="S77" i="16"/>
  <c r="K75" i="16"/>
  <c r="I71" i="16"/>
  <c r="K69" i="16"/>
  <c r="I67" i="16"/>
  <c r="S69" i="16"/>
  <c r="R77" i="16"/>
  <c r="J75" i="16"/>
  <c r="K73" i="16"/>
  <c r="L71" i="16"/>
  <c r="J69" i="16"/>
  <c r="L67" i="16"/>
  <c r="P74" i="16"/>
  <c r="I69" i="16"/>
  <c r="P71" i="16"/>
  <c r="L70" i="16"/>
  <c r="S73" i="16"/>
  <c r="K71" i="16"/>
  <c r="R73" i="16"/>
  <c r="R67" i="16"/>
  <c r="P77" i="16"/>
  <c r="R75" i="16"/>
  <c r="S72" i="16"/>
  <c r="Q70" i="16"/>
  <c r="S68" i="16"/>
  <c r="Q77" i="16"/>
  <c r="K67" i="16"/>
  <c r="I77" i="16"/>
  <c r="R74" i="16"/>
  <c r="R72" i="16"/>
  <c r="P70" i="16"/>
  <c r="R68" i="16"/>
  <c r="I75" i="16"/>
  <c r="J68" i="16"/>
  <c r="L77" i="16"/>
  <c r="Q74" i="16"/>
  <c r="Q72" i="16"/>
  <c r="S70" i="16"/>
  <c r="Q68" i="16"/>
  <c r="J78" i="16"/>
  <c r="Q73" i="16"/>
  <c r="Q67" i="16"/>
  <c r="Q76" i="16"/>
  <c r="R69" i="16"/>
  <c r="S75" i="16"/>
  <c r="Q75" i="16"/>
  <c r="S67" i="16"/>
  <c r="P75" i="16"/>
  <c r="L76" i="16"/>
  <c r="J77" i="16"/>
  <c r="L75" i="16"/>
  <c r="I72" i="16"/>
  <c r="K70" i="16"/>
  <c r="I68" i="16"/>
  <c r="R76" i="16"/>
  <c r="Q71" i="16"/>
  <c r="R78" i="16"/>
  <c r="J76" i="16"/>
  <c r="L74" i="16"/>
  <c r="L72" i="16"/>
  <c r="J70" i="16"/>
  <c r="L68" i="16"/>
  <c r="P72" i="16"/>
  <c r="Q78" i="16"/>
  <c r="S76" i="16"/>
  <c r="K74" i="16"/>
  <c r="K72" i="16"/>
  <c r="I70" i="16"/>
  <c r="K68" i="16"/>
  <c r="K77" i="16"/>
  <c r="J72" i="16"/>
  <c r="S74" i="16"/>
  <c r="P67" i="16"/>
  <c r="L78" i="16"/>
  <c r="S71" i="16"/>
  <c r="K78" i="16"/>
  <c r="P69" i="16"/>
  <c r="Q69" i="16"/>
  <c r="R71" i="16"/>
  <c r="R70" i="16"/>
  <c r="P73" i="16"/>
  <c r="P76" i="16"/>
  <c r="P78" i="16"/>
  <c r="I73" i="16"/>
  <c r="I78" i="16"/>
  <c r="I76" i="16"/>
  <c r="V16" i="12"/>
  <c r="U18" i="12"/>
  <c r="AD18" i="12" s="1"/>
  <c r="L94" i="16"/>
  <c r="J92" i="16"/>
  <c r="L90" i="16"/>
  <c r="J88" i="16"/>
  <c r="L86" i="16"/>
  <c r="Q83" i="16"/>
  <c r="S90" i="16"/>
  <c r="K84" i="16"/>
  <c r="L93" i="16"/>
  <c r="J91" i="16"/>
  <c r="L89" i="16"/>
  <c r="J87" i="16"/>
  <c r="L85" i="16"/>
  <c r="J83" i="16"/>
  <c r="I90" i="16"/>
  <c r="P94" i="16"/>
  <c r="R92" i="16"/>
  <c r="P90" i="16"/>
  <c r="R88" i="16"/>
  <c r="P86" i="16"/>
  <c r="R84" i="16"/>
  <c r="K92" i="16"/>
  <c r="L87" i="16"/>
  <c r="S94" i="16"/>
  <c r="I85" i="16"/>
  <c r="S93" i="16"/>
  <c r="Q91" i="16"/>
  <c r="S89" i="16"/>
  <c r="Q87" i="16"/>
  <c r="S85" i="16"/>
  <c r="K83" i="16"/>
  <c r="P89" i="16"/>
  <c r="Q94" i="16"/>
  <c r="S92" i="16"/>
  <c r="Q90" i="16"/>
  <c r="S88" i="16"/>
  <c r="Q86" i="16"/>
  <c r="S84" i="16"/>
  <c r="I83" i="16"/>
  <c r="R87" i="16"/>
  <c r="J94" i="16"/>
  <c r="L92" i="16"/>
  <c r="J90" i="16"/>
  <c r="L88" i="16"/>
  <c r="J86" i="16"/>
  <c r="L84" i="16"/>
  <c r="R91" i="16"/>
  <c r="S86" i="16"/>
  <c r="R94" i="16"/>
  <c r="P92" i="16"/>
  <c r="R90" i="16"/>
  <c r="P88" i="16"/>
  <c r="R86" i="16"/>
  <c r="J84" i="16"/>
  <c r="Q92" i="16"/>
  <c r="I86" i="16"/>
  <c r="R93" i="16"/>
  <c r="P91" i="16"/>
  <c r="R89" i="16"/>
  <c r="P87" i="16"/>
  <c r="R85" i="16"/>
  <c r="P83" i="16"/>
  <c r="L91" i="16"/>
  <c r="L83" i="16"/>
  <c r="K93" i="16"/>
  <c r="I91" i="16"/>
  <c r="K89" i="16"/>
  <c r="I87" i="16"/>
  <c r="K85" i="16"/>
  <c r="P93" i="16"/>
  <c r="Q88" i="16"/>
  <c r="R83" i="16"/>
  <c r="P85" i="16"/>
  <c r="I93" i="16"/>
  <c r="K91" i="16"/>
  <c r="I89" i="16"/>
  <c r="K87" i="16"/>
  <c r="P84" i="16"/>
  <c r="I94" i="16"/>
  <c r="K88" i="16"/>
  <c r="K94" i="16"/>
  <c r="I92" i="16"/>
  <c r="D92" i="16" s="1"/>
  <c r="O142" i="8" s="1"/>
  <c r="K90" i="16"/>
  <c r="I88" i="16"/>
  <c r="K86" i="16"/>
  <c r="I84" i="16"/>
  <c r="J93" i="16"/>
  <c r="Q84" i="16"/>
  <c r="Q93" i="16"/>
  <c r="S91" i="16"/>
  <c r="Q89" i="16"/>
  <c r="S87" i="16"/>
  <c r="Q85" i="16"/>
  <c r="S83" i="16"/>
  <c r="J89" i="16"/>
  <c r="J85" i="16"/>
  <c r="U17" i="12"/>
  <c r="W16" i="12"/>
  <c r="N55" i="14"/>
  <c r="N57" i="14"/>
  <c r="H60" i="14"/>
  <c r="N52" i="14"/>
  <c r="H55" i="14"/>
  <c r="O55" i="14"/>
  <c r="O59" i="14"/>
  <c r="O63" i="14"/>
  <c r="H62" i="14"/>
  <c r="P55" i="14"/>
  <c r="P59" i="14"/>
  <c r="P63" i="14"/>
  <c r="I52" i="14"/>
  <c r="I56" i="14"/>
  <c r="I60" i="14"/>
  <c r="J52" i="14"/>
  <c r="J56" i="14"/>
  <c r="J60" i="14"/>
  <c r="J53" i="14"/>
  <c r="J61" i="14"/>
  <c r="N56" i="14"/>
  <c r="O54" i="14"/>
  <c r="H58" i="14"/>
  <c r="P62" i="14"/>
  <c r="I59" i="14"/>
  <c r="J59" i="14"/>
  <c r="O52" i="14"/>
  <c r="H61" i="14"/>
  <c r="N62" i="14"/>
  <c r="H56" i="14"/>
  <c r="N53" i="14"/>
  <c r="O56" i="14"/>
  <c r="O60" i="14"/>
  <c r="P52" i="14"/>
  <c r="P56" i="14"/>
  <c r="P60" i="14"/>
  <c r="H59" i="14"/>
  <c r="I53" i="14"/>
  <c r="I57" i="14"/>
  <c r="I61" i="14"/>
  <c r="J57" i="14"/>
  <c r="J62" i="14"/>
  <c r="H52" i="14"/>
  <c r="O53" i="14"/>
  <c r="O62" i="14"/>
  <c r="P58" i="14"/>
  <c r="I55" i="14"/>
  <c r="J55" i="14"/>
  <c r="N63" i="14"/>
  <c r="H57" i="14"/>
  <c r="N60" i="14"/>
  <c r="N58" i="14"/>
  <c r="N61" i="14"/>
  <c r="H53" i="14"/>
  <c r="O57" i="14"/>
  <c r="O61" i="14"/>
  <c r="H54" i="14"/>
  <c r="P53" i="14"/>
  <c r="P57" i="14"/>
  <c r="P61" i="14"/>
  <c r="H63" i="14"/>
  <c r="I54" i="14"/>
  <c r="I58" i="14"/>
  <c r="I62" i="14"/>
  <c r="J54" i="14"/>
  <c r="J58" i="14"/>
  <c r="N59" i="14"/>
  <c r="N54" i="14"/>
  <c r="O58" i="14"/>
  <c r="P54" i="14"/>
  <c r="I63" i="14"/>
  <c r="J63" i="14"/>
  <c r="W63" i="12"/>
  <c r="V63" i="12"/>
  <c r="AE63" i="12"/>
  <c r="W71" i="12"/>
  <c r="V71" i="12"/>
  <c r="AE71" i="12"/>
  <c r="I63" i="16"/>
  <c r="I9" i="16"/>
  <c r="R9" i="16"/>
  <c r="K9" i="16"/>
  <c r="K12" i="16"/>
  <c r="R12" i="16"/>
  <c r="Q9" i="16"/>
  <c r="J9" i="16"/>
  <c r="S9" i="16"/>
  <c r="L10" i="16"/>
  <c r="L12" i="16"/>
  <c r="L14" i="16"/>
  <c r="S12" i="16"/>
  <c r="S11" i="16"/>
  <c r="L9" i="16"/>
  <c r="L11" i="16"/>
  <c r="L13" i="16"/>
  <c r="S10" i="16"/>
  <c r="S14" i="16"/>
  <c r="S13" i="16"/>
  <c r="AA17" i="12" l="1"/>
  <c r="Z17" i="12"/>
  <c r="J95" i="16"/>
  <c r="L15" i="16"/>
  <c r="K15" i="16"/>
  <c r="L47" i="16"/>
  <c r="J79" i="16"/>
  <c r="J15" i="16"/>
  <c r="K95" i="16"/>
  <c r="K79" i="16"/>
  <c r="L95" i="16"/>
  <c r="L79" i="16"/>
  <c r="D36" i="16"/>
  <c r="D41" i="16"/>
  <c r="D35" i="16"/>
  <c r="D38" i="16"/>
  <c r="D37" i="16"/>
  <c r="D40" i="16"/>
  <c r="D45" i="16"/>
  <c r="AH26" i="15"/>
  <c r="E47" i="16"/>
  <c r="D43" i="16"/>
  <c r="E4" i="16"/>
  <c r="E5" i="16"/>
  <c r="D4" i="16"/>
  <c r="D6" i="16"/>
  <c r="D3" i="16"/>
  <c r="D8" i="16"/>
  <c r="E8" i="16"/>
  <c r="D13" i="16"/>
  <c r="D5" i="16"/>
  <c r="D7" i="16"/>
  <c r="E3" i="16"/>
  <c r="E6" i="16"/>
  <c r="D51" i="16"/>
  <c r="D63" i="16" s="1"/>
  <c r="E63" i="16"/>
  <c r="AD17" i="12"/>
  <c r="AF16" i="12"/>
  <c r="AH16" i="12"/>
  <c r="AI16" i="12" s="1"/>
  <c r="AH63" i="12"/>
  <c r="AF63" i="12"/>
  <c r="AH71" i="12"/>
  <c r="AF71" i="12"/>
  <c r="W18" i="12"/>
  <c r="D14" i="16"/>
  <c r="E14" i="16"/>
  <c r="E7" i="16"/>
  <c r="D11" i="16"/>
  <c r="E10" i="16"/>
  <c r="Q15" i="16"/>
  <c r="D10" i="16"/>
  <c r="E11" i="16"/>
  <c r="AE18" i="12"/>
  <c r="E13" i="16"/>
  <c r="D70" i="16"/>
  <c r="I73" i="8" s="1"/>
  <c r="E76" i="16"/>
  <c r="E78" i="16"/>
  <c r="D76" i="16"/>
  <c r="O73" i="8" s="1"/>
  <c r="V18" i="12"/>
  <c r="E71" i="16"/>
  <c r="D71" i="16"/>
  <c r="J73" i="8" s="1"/>
  <c r="E68" i="16"/>
  <c r="Q79" i="16"/>
  <c r="D78" i="16"/>
  <c r="Q73" i="8" s="1"/>
  <c r="E73" i="16"/>
  <c r="E69" i="16"/>
  <c r="E67" i="16"/>
  <c r="P79" i="16"/>
  <c r="D75" i="16"/>
  <c r="N73" i="8" s="1"/>
  <c r="D69" i="16"/>
  <c r="H73" i="8" s="1"/>
  <c r="D74" i="16"/>
  <c r="M73" i="8" s="1"/>
  <c r="D88" i="16"/>
  <c r="K142" i="8" s="1"/>
  <c r="D68" i="16"/>
  <c r="G73" i="8" s="1"/>
  <c r="D73" i="16"/>
  <c r="D72" i="16"/>
  <c r="K73" i="8" s="1"/>
  <c r="E75" i="16"/>
  <c r="D77" i="16"/>
  <c r="P73" i="8" s="1"/>
  <c r="E77" i="16"/>
  <c r="E74" i="16"/>
  <c r="D67" i="16"/>
  <c r="I79" i="16"/>
  <c r="E72" i="16"/>
  <c r="S79" i="16"/>
  <c r="E70" i="16"/>
  <c r="R79" i="16"/>
  <c r="R95" i="16"/>
  <c r="D87" i="16"/>
  <c r="J142" i="8" s="1"/>
  <c r="D89" i="16"/>
  <c r="L142" i="8" s="1"/>
  <c r="D86" i="16"/>
  <c r="I142" i="8" s="1"/>
  <c r="E88" i="16"/>
  <c r="K132" i="8" s="1"/>
  <c r="E89" i="16"/>
  <c r="L132" i="8" s="1"/>
  <c r="D94" i="16"/>
  <c r="Q142" i="8" s="1"/>
  <c r="E94" i="16"/>
  <c r="Q132" i="8" s="1"/>
  <c r="I95" i="16"/>
  <c r="D83" i="16"/>
  <c r="F142" i="8" s="1"/>
  <c r="D90" i="16"/>
  <c r="M142" i="8" s="1"/>
  <c r="E87" i="16"/>
  <c r="J132" i="8" s="1"/>
  <c r="S95" i="16"/>
  <c r="D84" i="16"/>
  <c r="G142" i="8" s="1"/>
  <c r="E84" i="16"/>
  <c r="G132" i="8" s="1"/>
  <c r="D93" i="16"/>
  <c r="P142" i="8" s="1"/>
  <c r="E93" i="16"/>
  <c r="P132" i="8" s="1"/>
  <c r="D91" i="16"/>
  <c r="N142" i="8" s="1"/>
  <c r="E83" i="16"/>
  <c r="F132" i="8" s="1"/>
  <c r="P95" i="16"/>
  <c r="E91" i="16"/>
  <c r="N132" i="8" s="1"/>
  <c r="E92" i="16"/>
  <c r="O132" i="8" s="1"/>
  <c r="E90" i="16"/>
  <c r="M132" i="8" s="1"/>
  <c r="Q95" i="16"/>
  <c r="E86" i="16"/>
  <c r="I132" i="8" s="1"/>
  <c r="E85" i="16"/>
  <c r="H132" i="8" s="1"/>
  <c r="D85" i="16"/>
  <c r="H142" i="8" s="1"/>
  <c r="W17" i="12"/>
  <c r="V17" i="12"/>
  <c r="AE17" i="12"/>
  <c r="H64" i="14"/>
  <c r="J64" i="14"/>
  <c r="I64" i="14"/>
  <c r="N64" i="14"/>
  <c r="O64" i="14"/>
  <c r="P64" i="14"/>
  <c r="Q63" i="14"/>
  <c r="Q52" i="14"/>
  <c r="Q56" i="14"/>
  <c r="Q60" i="14"/>
  <c r="Q55" i="14"/>
  <c r="Q59" i="14"/>
  <c r="Q53" i="14"/>
  <c r="Q57" i="14"/>
  <c r="Q61" i="14"/>
  <c r="Q54" i="14"/>
  <c r="Q58" i="14"/>
  <c r="Q62" i="14"/>
  <c r="K63" i="14"/>
  <c r="K53" i="14"/>
  <c r="K57" i="14"/>
  <c r="K61" i="14"/>
  <c r="K56" i="14"/>
  <c r="K54" i="14"/>
  <c r="D54" i="14" s="1"/>
  <c r="K58" i="14"/>
  <c r="K62" i="14"/>
  <c r="K55" i="14"/>
  <c r="D55" i="14" s="1"/>
  <c r="K59" i="14"/>
  <c r="D59" i="14" s="1"/>
  <c r="K52" i="14"/>
  <c r="K60" i="14"/>
  <c r="D60" i="14" s="1"/>
  <c r="D12" i="16"/>
  <c r="D9" i="16"/>
  <c r="E12" i="16"/>
  <c r="E9" i="16"/>
  <c r="S15" i="16"/>
  <c r="R15" i="16"/>
  <c r="P15" i="16"/>
  <c r="I15" i="16"/>
  <c r="D63" i="14" l="1"/>
  <c r="D47" i="16"/>
  <c r="D58" i="14"/>
  <c r="AF17" i="12"/>
  <c r="AH17" i="12"/>
  <c r="AI17" i="12" s="1"/>
  <c r="AF18" i="12"/>
  <c r="AH18" i="12"/>
  <c r="AI18" i="12" s="1"/>
  <c r="E142" i="8"/>
  <c r="D79" i="16"/>
  <c r="E79" i="16"/>
  <c r="D95" i="16"/>
  <c r="E95" i="16"/>
  <c r="D62" i="14"/>
  <c r="D61" i="14"/>
  <c r="D52" i="14"/>
  <c r="D53" i="14"/>
  <c r="D56" i="14"/>
  <c r="D57" i="14"/>
  <c r="Q64" i="14"/>
  <c r="R1" i="2" l="1"/>
  <c r="K19" i="10" l="1"/>
  <c r="K20" i="10" s="1"/>
  <c r="Q152" i="8"/>
  <c r="F60" i="13" l="1"/>
  <c r="E152" i="8"/>
  <c r="F48" i="13"/>
  <c r="D19" i="13"/>
  <c r="F50" i="13"/>
  <c r="F49" i="13"/>
  <c r="K139" i="13"/>
  <c r="K137" i="13"/>
  <c r="K135" i="13"/>
  <c r="K133" i="13"/>
  <c r="K130" i="13"/>
  <c r="K128" i="13"/>
  <c r="K126" i="13"/>
  <c r="K124" i="13"/>
  <c r="K122" i="13"/>
  <c r="K138" i="13"/>
  <c r="K136" i="13"/>
  <c r="K134" i="13"/>
  <c r="K132" i="13"/>
  <c r="K131" i="13"/>
  <c r="K129" i="13"/>
  <c r="K127" i="13"/>
  <c r="K125" i="13"/>
  <c r="K123" i="13"/>
  <c r="K12" i="13"/>
  <c r="C23" i="19"/>
  <c r="P23" i="19" s="1"/>
  <c r="C149" i="2"/>
  <c r="S2" i="2"/>
  <c r="S5" i="2"/>
  <c r="D151" i="2"/>
  <c r="C152" i="2"/>
  <c r="C139" i="2"/>
  <c r="C135" i="2"/>
  <c r="C128" i="2"/>
  <c r="E128" i="2" s="1"/>
  <c r="C124" i="2"/>
  <c r="E124" i="2" s="1"/>
  <c r="C120" i="2"/>
  <c r="C113" i="2"/>
  <c r="C146" i="2" s="1"/>
  <c r="C109" i="2"/>
  <c r="D112" i="2"/>
  <c r="C151" i="2"/>
  <c r="C138" i="2"/>
  <c r="C134" i="2"/>
  <c r="C127" i="2"/>
  <c r="E127" i="2" s="1"/>
  <c r="C123" i="2"/>
  <c r="E123" i="2" s="1"/>
  <c r="C119" i="2"/>
  <c r="C112" i="2"/>
  <c r="C108" i="2"/>
  <c r="D111" i="2"/>
  <c r="C150" i="2"/>
  <c r="C137" i="2"/>
  <c r="C133" i="2"/>
  <c r="C126" i="2"/>
  <c r="E126" i="2" s="1"/>
  <c r="C122" i="2"/>
  <c r="E122" i="2" s="1"/>
  <c r="C115" i="2"/>
  <c r="C147" i="2" s="1"/>
  <c r="C111" i="2"/>
  <c r="D110" i="2"/>
  <c r="C153" i="2"/>
  <c r="C136" i="2"/>
  <c r="C132" i="2"/>
  <c r="C125" i="2"/>
  <c r="E125" i="2" s="1"/>
  <c r="C121" i="2"/>
  <c r="E121" i="2" s="1"/>
  <c r="C110" i="2"/>
  <c r="C199" i="2"/>
  <c r="C195" i="2"/>
  <c r="C191" i="2"/>
  <c r="C187" i="2"/>
  <c r="C183" i="2"/>
  <c r="C179" i="2"/>
  <c r="C172" i="2"/>
  <c r="D173" i="2"/>
  <c r="C198" i="2"/>
  <c r="C194" i="2"/>
  <c r="C190" i="2"/>
  <c r="C186" i="2"/>
  <c r="C182" i="2"/>
  <c r="C178" i="2"/>
  <c r="C171" i="2"/>
  <c r="D172" i="2"/>
  <c r="C204" i="2"/>
  <c r="C197" i="2"/>
  <c r="C193" i="2"/>
  <c r="C189" i="2"/>
  <c r="C185" i="2"/>
  <c r="C181" i="2"/>
  <c r="C174" i="2"/>
  <c r="C170" i="2"/>
  <c r="C203" i="2"/>
  <c r="C196" i="2"/>
  <c r="C192" i="2"/>
  <c r="C188" i="2"/>
  <c r="C184" i="2"/>
  <c r="C180" i="2"/>
  <c r="C173" i="2"/>
  <c r="C169" i="2"/>
  <c r="M122" i="2"/>
  <c r="M127" i="2"/>
  <c r="M124" i="2"/>
  <c r="M123" i="2"/>
  <c r="M120" i="2"/>
  <c r="M125" i="2"/>
  <c r="M128" i="2"/>
  <c r="M121" i="2"/>
  <c r="M126" i="2"/>
  <c r="M119" i="2"/>
  <c r="R5" i="2"/>
  <c r="Q5" i="2"/>
  <c r="Q155" i="8"/>
  <c r="P155" i="8"/>
  <c r="O155" i="8"/>
  <c r="N155" i="8"/>
  <c r="M155" i="8"/>
  <c r="L155" i="8"/>
  <c r="K155" i="8"/>
  <c r="J155" i="8"/>
  <c r="I155" i="8"/>
  <c r="H155" i="8"/>
  <c r="G155" i="8"/>
  <c r="F155" i="8"/>
  <c r="D155" i="8"/>
  <c r="C114" i="2" s="1"/>
  <c r="E154" i="8"/>
  <c r="E52" i="13" l="1"/>
  <c r="F59" i="13" s="1"/>
  <c r="C212" i="2"/>
  <c r="D113" i="2"/>
  <c r="D146" i="2" s="1"/>
  <c r="E86" i="8"/>
  <c r="E20" i="8"/>
  <c r="D28" i="2" s="1"/>
  <c r="E88" i="8"/>
  <c r="F57" i="13" l="1"/>
  <c r="F58" i="13"/>
  <c r="F56" i="13"/>
  <c r="E54" i="13"/>
  <c r="E53" i="13"/>
  <c r="E89" i="8"/>
  <c r="D88" i="2" s="1"/>
  <c r="B160" i="2"/>
  <c r="B101" i="2"/>
  <c r="C116" i="2" l="1"/>
  <c r="C72" i="2"/>
  <c r="C60" i="2"/>
  <c r="C89" i="2"/>
  <c r="D5" i="8"/>
  <c r="D200" i="8"/>
  <c r="D170" i="8"/>
  <c r="D124" i="8"/>
  <c r="D111" i="8"/>
  <c r="D151" i="8" s="1"/>
  <c r="E60" i="2" l="1"/>
  <c r="C84" i="2"/>
  <c r="E72" i="2"/>
  <c r="C85" i="2"/>
  <c r="D203" i="8"/>
  <c r="D216" i="8" s="1"/>
  <c r="D70" i="8"/>
  <c r="D139" i="8"/>
  <c r="D68" i="8"/>
  <c r="D137" i="8"/>
  <c r="D157" i="8" s="1"/>
  <c r="D77" i="8" l="1"/>
  <c r="D95" i="8"/>
  <c r="D146" i="8"/>
  <c r="D215" i="8" s="1"/>
  <c r="B4" i="8"/>
  <c r="A2" i="5"/>
  <c r="A2" i="4"/>
  <c r="D208" i="8" l="1"/>
  <c r="D218" i="8" s="1"/>
  <c r="D214" i="8"/>
  <c r="B1" i="2" l="1"/>
  <c r="E177" i="8" l="1"/>
  <c r="D182" i="2" s="1"/>
  <c r="E178" i="8"/>
  <c r="D183" i="2" s="1"/>
  <c r="E179" i="8"/>
  <c r="D184" i="2" s="1"/>
  <c r="E180" i="8"/>
  <c r="D185" i="2" s="1"/>
  <c r="E181" i="8"/>
  <c r="D186" i="2" s="1"/>
  <c r="E182" i="8"/>
  <c r="D187" i="2" s="1"/>
  <c r="E183" i="8" l="1"/>
  <c r="D188" i="2" s="1"/>
  <c r="E184" i="8"/>
  <c r="D189" i="2" s="1"/>
  <c r="E185" i="8"/>
  <c r="D190" i="2" s="1"/>
  <c r="E186" i="8"/>
  <c r="D191" i="2" s="1"/>
  <c r="E187" i="8"/>
  <c r="D192" i="2" s="1"/>
  <c r="E188" i="8"/>
  <c r="D193" i="2" s="1"/>
  <c r="E189" i="8"/>
  <c r="D194" i="2" s="1"/>
  <c r="E190" i="8"/>
  <c r="D195" i="2" s="1"/>
  <c r="E143" i="8"/>
  <c r="D150" i="2" s="1"/>
  <c r="E127" i="8"/>
  <c r="D152" i="2" s="1"/>
  <c r="E74" i="8"/>
  <c r="D91" i="2" s="1"/>
  <c r="E55" i="8"/>
  <c r="D93" i="2" s="1"/>
  <c r="D28" i="13" l="1"/>
  <c r="E145" i="2" l="1"/>
  <c r="D17" i="2"/>
  <c r="L82" i="13" l="1"/>
  <c r="D81" i="2"/>
  <c r="E2" i="20"/>
  <c r="D3" i="21"/>
  <c r="A33" i="13"/>
  <c r="C33" i="13" s="1"/>
  <c r="E11" i="19"/>
  <c r="F170" i="8"/>
  <c r="E5" i="8"/>
  <c r="E198" i="8"/>
  <c r="D203" i="2" s="1"/>
  <c r="E165" i="8"/>
  <c r="D170" i="2" s="1"/>
  <c r="E105" i="8"/>
  <c r="D109" i="2" s="1"/>
  <c r="E11" i="8"/>
  <c r="D19" i="2" s="1"/>
  <c r="C17" i="2" l="1"/>
  <c r="K82" i="13" l="1"/>
  <c r="C81" i="2"/>
  <c r="D11" i="19"/>
  <c r="M66" i="2"/>
  <c r="A32" i="13"/>
  <c r="Q1" i="2"/>
  <c r="N2" i="19" l="1"/>
  <c r="C32" i="13"/>
  <c r="E109" i="8"/>
  <c r="D153" i="2" s="1"/>
  <c r="E199" i="8"/>
  <c r="D204" i="2" s="1"/>
  <c r="E192" i="8"/>
  <c r="D197" i="2" s="1"/>
  <c r="E191" i="8"/>
  <c r="D196" i="2" s="1"/>
  <c r="E176" i="8"/>
  <c r="D181" i="2" s="1"/>
  <c r="E175" i="8"/>
  <c r="D180" i="2" s="1"/>
  <c r="E174" i="8"/>
  <c r="D179" i="2" s="1"/>
  <c r="E173" i="8"/>
  <c r="D178" i="2" s="1"/>
  <c r="Q170" i="8"/>
  <c r="P170" i="8"/>
  <c r="O170" i="8"/>
  <c r="N170" i="8"/>
  <c r="M170" i="8"/>
  <c r="L170" i="8"/>
  <c r="K170" i="8"/>
  <c r="J170" i="8"/>
  <c r="I170" i="8"/>
  <c r="H170" i="8"/>
  <c r="G170" i="8"/>
  <c r="E169" i="8"/>
  <c r="D174" i="2" s="1"/>
  <c r="E166" i="8"/>
  <c r="D171" i="2" s="1"/>
  <c r="E164" i="8"/>
  <c r="D169" i="2" s="1"/>
  <c r="M101" i="2" l="1"/>
  <c r="P34" i="2"/>
  <c r="M60" i="13"/>
  <c r="M120" i="13"/>
  <c r="M111" i="13"/>
  <c r="M119" i="13"/>
  <c r="M98" i="13"/>
  <c r="M110" i="13"/>
  <c r="M109" i="13"/>
  <c r="M117" i="13"/>
  <c r="M106" i="13"/>
  <c r="M99" i="13"/>
  <c r="M112" i="13"/>
  <c r="M101" i="13"/>
  <c r="M108" i="13"/>
  <c r="M93" i="13"/>
  <c r="M113" i="13"/>
  <c r="M107" i="13"/>
  <c r="M92" i="13"/>
  <c r="M102" i="13"/>
  <c r="M87" i="13"/>
  <c r="M94" i="13"/>
  <c r="M88" i="13"/>
  <c r="M104" i="13"/>
  <c r="M82" i="13"/>
  <c r="E170" i="8"/>
  <c r="E134" i="8"/>
  <c r="E133" i="8"/>
  <c r="E153" i="8"/>
  <c r="E131" i="8"/>
  <c r="E130" i="8"/>
  <c r="E129" i="8"/>
  <c r="E128" i="8"/>
  <c r="Q124" i="8"/>
  <c r="P124" i="8"/>
  <c r="O124" i="8"/>
  <c r="N124" i="8"/>
  <c r="M124" i="8"/>
  <c r="L124" i="8"/>
  <c r="K124" i="8"/>
  <c r="J124" i="8"/>
  <c r="I124" i="8"/>
  <c r="H124" i="8"/>
  <c r="G124" i="8"/>
  <c r="F124" i="8"/>
  <c r="E123" i="8"/>
  <c r="E118" i="8"/>
  <c r="E122" i="8"/>
  <c r="E121" i="8"/>
  <c r="E120" i="8"/>
  <c r="E119" i="8"/>
  <c r="E117" i="8"/>
  <c r="E116" i="8"/>
  <c r="E115" i="8"/>
  <c r="E114" i="8"/>
  <c r="Q111" i="8"/>
  <c r="Q151" i="8" s="1"/>
  <c r="P111" i="8"/>
  <c r="P151" i="8" s="1"/>
  <c r="O111" i="8"/>
  <c r="O151" i="8" s="1"/>
  <c r="N111" i="8"/>
  <c r="N151" i="8" s="1"/>
  <c r="M111" i="8"/>
  <c r="M151" i="8" s="1"/>
  <c r="L111" i="8"/>
  <c r="L151" i="8" s="1"/>
  <c r="K111" i="8"/>
  <c r="K151" i="8" s="1"/>
  <c r="J111" i="8"/>
  <c r="J151" i="8" s="1"/>
  <c r="I111" i="8"/>
  <c r="I151" i="8" s="1"/>
  <c r="H111" i="8"/>
  <c r="H151" i="8" s="1"/>
  <c r="G111" i="8"/>
  <c r="G151" i="8" s="1"/>
  <c r="F111" i="8"/>
  <c r="E110" i="8"/>
  <c r="D115" i="2" s="1"/>
  <c r="D147" i="2" s="1"/>
  <c r="E155" i="8"/>
  <c r="D114" i="2" s="1"/>
  <c r="E104" i="8"/>
  <c r="D108" i="2" s="1"/>
  <c r="F151" i="8" l="1"/>
  <c r="D122" i="2"/>
  <c r="L125" i="13"/>
  <c r="M125" i="13" s="1"/>
  <c r="D127" i="2"/>
  <c r="L130" i="13"/>
  <c r="M130" i="13" s="1"/>
  <c r="D133" i="2"/>
  <c r="L133" i="13"/>
  <c r="M133" i="13" s="1"/>
  <c r="D138" i="2"/>
  <c r="L138" i="13"/>
  <c r="M138" i="13" s="1"/>
  <c r="D121" i="2"/>
  <c r="L124" i="13"/>
  <c r="M124" i="13" s="1"/>
  <c r="D136" i="2"/>
  <c r="L136" i="13"/>
  <c r="M136" i="13" s="1"/>
  <c r="D119" i="2"/>
  <c r="E119" i="2" s="1"/>
  <c r="L122" i="13"/>
  <c r="M122" i="13" s="1"/>
  <c r="D124" i="2"/>
  <c r="L127" i="13"/>
  <c r="M127" i="13" s="1"/>
  <c r="D123" i="2"/>
  <c r="L126" i="13"/>
  <c r="M126" i="13" s="1"/>
  <c r="D134" i="2"/>
  <c r="L134" i="13"/>
  <c r="M134" i="13" s="1"/>
  <c r="D139" i="2"/>
  <c r="L139" i="13"/>
  <c r="M139" i="13" s="1"/>
  <c r="D126" i="2"/>
  <c r="L129" i="13"/>
  <c r="M129" i="13" s="1"/>
  <c r="D132" i="2"/>
  <c r="L132" i="13"/>
  <c r="M132" i="13" s="1"/>
  <c r="D120" i="2"/>
  <c r="E120" i="2" s="1"/>
  <c r="L123" i="13"/>
  <c r="M123" i="13" s="1"/>
  <c r="D125" i="2"/>
  <c r="L128" i="13"/>
  <c r="M128" i="13" s="1"/>
  <c r="D128" i="2"/>
  <c r="L131" i="13"/>
  <c r="M131" i="13" s="1"/>
  <c r="D135" i="2"/>
  <c r="L135" i="13"/>
  <c r="M135" i="13" s="1"/>
  <c r="D116" i="2"/>
  <c r="G48" i="13" s="1"/>
  <c r="E111" i="8"/>
  <c r="E124" i="8"/>
  <c r="E151" i="8" l="1"/>
  <c r="AE5" i="12"/>
  <c r="F11" i="12"/>
  <c r="G8" i="11" s="1"/>
  <c r="D33" i="20" s="1"/>
  <c r="B11" i="12"/>
  <c r="B75" i="12"/>
  <c r="B67" i="12"/>
  <c r="B59" i="12"/>
  <c r="B35" i="12"/>
  <c r="B27" i="12"/>
  <c r="B19" i="12"/>
  <c r="D12" i="5"/>
  <c r="D19" i="5"/>
  <c r="D26" i="5"/>
  <c r="D33" i="5"/>
  <c r="A47" i="5"/>
  <c r="A40" i="5"/>
  <c r="A33" i="5"/>
  <c r="A19" i="5"/>
  <c r="A12" i="5"/>
  <c r="Z5" i="12" l="1"/>
  <c r="AC5" i="12" s="1"/>
  <c r="H75" i="14"/>
  <c r="D75" i="14" s="1"/>
  <c r="L73" i="8" s="1"/>
  <c r="H69" i="14"/>
  <c r="G68" i="4"/>
  <c r="G61" i="4"/>
  <c r="D54" i="4"/>
  <c r="G54" i="4"/>
  <c r="D47" i="4"/>
  <c r="G47" i="4"/>
  <c r="D40" i="4"/>
  <c r="G40" i="4"/>
  <c r="D33" i="4"/>
  <c r="G33" i="4"/>
  <c r="D26" i="4"/>
  <c r="G26" i="4"/>
  <c r="D19" i="4"/>
  <c r="G19" i="4"/>
  <c r="G12" i="4"/>
  <c r="D12" i="4"/>
  <c r="A47" i="4"/>
  <c r="A40" i="4"/>
  <c r="A33" i="4"/>
  <c r="A26" i="4"/>
  <c r="A19" i="4"/>
  <c r="A12" i="4"/>
  <c r="D69" i="14" l="1"/>
  <c r="D81" i="14" s="1"/>
  <c r="H81" i="14"/>
  <c r="K75" i="14"/>
  <c r="E75" i="14" s="1"/>
  <c r="X5" i="12"/>
  <c r="V5" i="12" s="1"/>
  <c r="K69" i="14"/>
  <c r="E69" i="14" s="1"/>
  <c r="AC11" i="12"/>
  <c r="F73" i="8" l="1"/>
  <c r="E81" i="14"/>
  <c r="K81" i="14"/>
  <c r="AD59" i="12"/>
  <c r="AE35" i="12"/>
  <c r="G22" i="11" s="1"/>
  <c r="D45" i="20" s="1"/>
  <c r="AE59" i="12"/>
  <c r="G26" i="11" s="1"/>
  <c r="D49" i="20" s="1"/>
  <c r="F193" i="8" l="1"/>
  <c r="AE27" i="12"/>
  <c r="G21" i="11" s="1"/>
  <c r="D44" i="20" s="1"/>
  <c r="AE75" i="12"/>
  <c r="AE67" i="12"/>
  <c r="AD35" i="12"/>
  <c r="AD75" i="12"/>
  <c r="AB1" i="15" l="1"/>
  <c r="G51" i="11"/>
  <c r="I193" i="8"/>
  <c r="P193" i="8"/>
  <c r="L193" i="8"/>
  <c r="J193" i="8"/>
  <c r="N193" i="8"/>
  <c r="K193" i="8"/>
  <c r="G193" i="8"/>
  <c r="O193" i="8"/>
  <c r="AD67" i="12"/>
  <c r="G48" i="11" s="1"/>
  <c r="H193" i="8"/>
  <c r="Q193" i="8"/>
  <c r="E33" i="5"/>
  <c r="G52" i="11" s="1"/>
  <c r="E26" i="5"/>
  <c r="G50" i="11" s="1"/>
  <c r="E19" i="5"/>
  <c r="G49" i="11" s="1"/>
  <c r="E12" i="5"/>
  <c r="G47" i="11" s="1"/>
  <c r="B47" i="5"/>
  <c r="G29" i="11" s="1"/>
  <c r="B40" i="5"/>
  <c r="G16" i="11" s="1"/>
  <c r="B33" i="5"/>
  <c r="G11" i="11" s="1"/>
  <c r="B19" i="5"/>
  <c r="G10" i="11" s="1"/>
  <c r="B12" i="5"/>
  <c r="G13" i="11" s="1"/>
  <c r="G30" i="11" l="1"/>
  <c r="E52" i="20"/>
  <c r="E53" i="20" s="1"/>
  <c r="D52" i="20"/>
  <c r="D53" i="20" s="1"/>
  <c r="E35" i="20"/>
  <c r="D35" i="20"/>
  <c r="D74" i="20"/>
  <c r="E74" i="20"/>
  <c r="E39" i="20"/>
  <c r="D39" i="20"/>
  <c r="E75" i="20"/>
  <c r="D75" i="20"/>
  <c r="D73" i="20"/>
  <c r="D38" i="20"/>
  <c r="E38" i="20"/>
  <c r="D77" i="20"/>
  <c r="E77" i="20"/>
  <c r="D72" i="20"/>
  <c r="E72" i="20"/>
  <c r="D76" i="20"/>
  <c r="E36" i="20"/>
  <c r="D36" i="20"/>
  <c r="D15" i="16"/>
  <c r="E31" i="16"/>
  <c r="E15" i="16"/>
  <c r="K64" i="14"/>
  <c r="H26" i="4"/>
  <c r="C49" i="11" s="1"/>
  <c r="H19" i="4"/>
  <c r="C48" i="11" s="1"/>
  <c r="B47" i="4"/>
  <c r="B40" i="4"/>
  <c r="C9" i="11" s="1"/>
  <c r="B33" i="4"/>
  <c r="C15" i="11" s="1"/>
  <c r="B26" i="4"/>
  <c r="C14" i="11" s="1"/>
  <c r="B19" i="4"/>
  <c r="C13" i="11" s="1"/>
  <c r="B12" i="4"/>
  <c r="C8" i="11" s="1"/>
  <c r="D5" i="20" s="1"/>
  <c r="E54" i="4"/>
  <c r="C29" i="11" s="1"/>
  <c r="E47" i="4"/>
  <c r="C28" i="11" s="1"/>
  <c r="E40" i="4"/>
  <c r="C27" i="11" s="1"/>
  <c r="E24" i="20" s="1"/>
  <c r="E33" i="4"/>
  <c r="C26" i="11" s="1"/>
  <c r="E26" i="4"/>
  <c r="C22" i="11" s="1"/>
  <c r="E19" i="4"/>
  <c r="C21" i="11" s="1"/>
  <c r="E12" i="4"/>
  <c r="C20" i="11" s="1"/>
  <c r="H12" i="4"/>
  <c r="C47" i="11" s="1"/>
  <c r="H68" i="4"/>
  <c r="C55" i="11" s="1"/>
  <c r="E68" i="20" s="1"/>
  <c r="H61" i="4"/>
  <c r="C53" i="11" s="1"/>
  <c r="H54" i="4"/>
  <c r="C54" i="11" s="1"/>
  <c r="E67" i="20" s="1"/>
  <c r="H47" i="4"/>
  <c r="C52" i="11" s="1"/>
  <c r="H40" i="4"/>
  <c r="C51" i="11" s="1"/>
  <c r="E64" i="20" s="1"/>
  <c r="H33" i="4"/>
  <c r="C50" i="11" s="1"/>
  <c r="E63" i="20" s="1"/>
  <c r="D78" i="20" l="1"/>
  <c r="D64" i="20"/>
  <c r="D68" i="20"/>
  <c r="D19" i="20"/>
  <c r="E26" i="20"/>
  <c r="D26" i="20"/>
  <c r="E12" i="20"/>
  <c r="D12" i="20"/>
  <c r="D62" i="20"/>
  <c r="E62" i="20"/>
  <c r="D60" i="20"/>
  <c r="E60" i="20"/>
  <c r="E23" i="20"/>
  <c r="D23" i="20"/>
  <c r="E6" i="20"/>
  <c r="D6" i="20"/>
  <c r="D65" i="20"/>
  <c r="E65" i="20"/>
  <c r="D67" i="20"/>
  <c r="D17" i="20"/>
  <c r="C30" i="11"/>
  <c r="D24" i="20"/>
  <c r="E10" i="20"/>
  <c r="D10" i="20"/>
  <c r="D63" i="20"/>
  <c r="D66" i="20"/>
  <c r="E66" i="20"/>
  <c r="D18" i="20"/>
  <c r="E25" i="20"/>
  <c r="D25" i="20"/>
  <c r="E11" i="20"/>
  <c r="D11" i="20"/>
  <c r="D61" i="20"/>
  <c r="E61" i="20"/>
  <c r="C23" i="11"/>
  <c r="C34" i="11" s="1"/>
  <c r="F8" i="8"/>
  <c r="F225" i="8"/>
  <c r="M193" i="8"/>
  <c r="D31" i="16"/>
  <c r="D64" i="14"/>
  <c r="C16" i="11"/>
  <c r="E27" i="20" l="1"/>
  <c r="D13" i="20"/>
  <c r="D14" i="20" s="1"/>
  <c r="E13" i="20"/>
  <c r="D20" i="20"/>
  <c r="E69" i="20"/>
  <c r="D69" i="20"/>
  <c r="D80" i="20" s="1"/>
  <c r="D27" i="20"/>
  <c r="E193" i="8"/>
  <c r="D198" i="2" s="1"/>
  <c r="G53" i="11"/>
  <c r="G59" i="11" s="1"/>
  <c r="D29" i="20" l="1"/>
  <c r="C56" i="11"/>
  <c r="C59" i="11" s="1"/>
  <c r="G56" i="11" l="1"/>
  <c r="C35" i="11"/>
  <c r="C17" i="11"/>
  <c r="C33" i="11" s="1"/>
  <c r="K2" i="10"/>
  <c r="C36" i="11" l="1"/>
  <c r="C58" i="11" s="1"/>
  <c r="B3" i="5"/>
  <c r="F4" i="11"/>
  <c r="B3" i="4"/>
  <c r="C60" i="11" l="1"/>
  <c r="D38" i="11"/>
  <c r="F116" i="2" l="1"/>
  <c r="D129" i="2"/>
  <c r="F129" i="2" s="1"/>
  <c r="D148" i="2"/>
  <c r="D175" i="2"/>
  <c r="D207" i="2"/>
  <c r="C207" i="2"/>
  <c r="D168" i="2"/>
  <c r="C168" i="2"/>
  <c r="D107" i="2"/>
  <c r="C107" i="2"/>
  <c r="C175" i="2"/>
  <c r="C148" i="2"/>
  <c r="C140" i="2"/>
  <c r="C129" i="2"/>
  <c r="E140" i="2" l="1"/>
  <c r="E129" i="2"/>
  <c r="G49" i="13"/>
  <c r="E116" i="2"/>
  <c r="C144" i="2"/>
  <c r="C142" i="2"/>
  <c r="C155" i="2" l="1"/>
  <c r="E144" i="2"/>
  <c r="C205" i="2"/>
  <c r="E63" i="8" l="1"/>
  <c r="E62" i="8"/>
  <c r="D69" i="2" l="1"/>
  <c r="F69" i="2" s="1"/>
  <c r="L121" i="13"/>
  <c r="M121" i="13" s="1"/>
  <c r="D68" i="2"/>
  <c r="F68" i="2" s="1"/>
  <c r="L95" i="13"/>
  <c r="M95" i="13" s="1"/>
  <c r="E21" i="8"/>
  <c r="D29" i="2" s="1"/>
  <c r="E12" i="8"/>
  <c r="D20" i="2" s="1"/>
  <c r="E18" i="8"/>
  <c r="E10" i="8"/>
  <c r="E60" i="8"/>
  <c r="E83" i="8"/>
  <c r="E84" i="8"/>
  <c r="E64" i="8"/>
  <c r="E65" i="8"/>
  <c r="E58" i="8"/>
  <c r="E29" i="8"/>
  <c r="E30" i="8"/>
  <c r="E45" i="8"/>
  <c r="E39" i="8"/>
  <c r="E46" i="8"/>
  <c r="E25" i="8"/>
  <c r="E50" i="8"/>
  <c r="D58" i="2" s="1"/>
  <c r="E51" i="8"/>
  <c r="E47" i="8"/>
  <c r="E18" i="20" l="1"/>
  <c r="D38" i="2"/>
  <c r="F38" i="2" s="1"/>
  <c r="L105" i="13"/>
  <c r="M105" i="13" s="1"/>
  <c r="D54" i="2"/>
  <c r="F54" i="2" s="1"/>
  <c r="L89" i="13"/>
  <c r="M89" i="13" s="1"/>
  <c r="D55" i="2"/>
  <c r="F55" i="2" s="1"/>
  <c r="L114" i="13"/>
  <c r="M114" i="13" s="1"/>
  <c r="D37" i="2"/>
  <c r="F37" i="2" s="1"/>
  <c r="L97" i="13"/>
  <c r="M97" i="13" s="1"/>
  <c r="D59" i="2"/>
  <c r="F59" i="2" s="1"/>
  <c r="L116" i="13"/>
  <c r="M116" i="13" s="1"/>
  <c r="D47" i="2"/>
  <c r="F47" i="2" s="1"/>
  <c r="L103" i="13"/>
  <c r="M103" i="13" s="1"/>
  <c r="D52" i="2"/>
  <c r="F52" i="2" s="1"/>
  <c r="L84" i="13"/>
  <c r="M84" i="13" s="1"/>
  <c r="E17" i="20"/>
  <c r="E20" i="20" s="1"/>
  <c r="L86" i="13"/>
  <c r="M86" i="13" s="1"/>
  <c r="D33" i="2"/>
  <c r="L85" i="13"/>
  <c r="M85" i="13" s="1"/>
  <c r="D70" i="2"/>
  <c r="F70" i="2" s="1"/>
  <c r="L100" i="13"/>
  <c r="M100" i="13" s="1"/>
  <c r="F58" i="2"/>
  <c r="L115" i="13"/>
  <c r="M115" i="13" s="1"/>
  <c r="D53" i="2"/>
  <c r="F53" i="2" s="1"/>
  <c r="L90" i="13"/>
  <c r="M90" i="13" s="1"/>
  <c r="D71" i="2"/>
  <c r="F71" i="2" s="1"/>
  <c r="L96" i="13"/>
  <c r="M96" i="13" s="1"/>
  <c r="L118" i="13"/>
  <c r="M118" i="13" s="1"/>
  <c r="D18" i="2"/>
  <c r="E22" i="8"/>
  <c r="D65" i="2"/>
  <c r="D94" i="2"/>
  <c r="D27" i="2"/>
  <c r="C74" i="2"/>
  <c r="E52" i="8"/>
  <c r="F33" i="2" l="1"/>
  <c r="M33" i="2"/>
  <c r="L33" i="2"/>
  <c r="D60" i="2"/>
  <c r="D89" i="2"/>
  <c r="F65" i="2"/>
  <c r="O15" i="12"/>
  <c r="F60" i="2" l="1"/>
  <c r="G46" i="13"/>
  <c r="G57" i="13" s="1"/>
  <c r="D84" i="2"/>
  <c r="AC15" i="12"/>
  <c r="AD3" i="12" s="1"/>
  <c r="R15" i="12"/>
  <c r="T15" i="12" s="1"/>
  <c r="X15" i="12" l="1"/>
  <c r="Y15" i="12"/>
  <c r="AB15" i="12"/>
  <c r="L135" i="8"/>
  <c r="L137" i="8" s="1"/>
  <c r="Q135" i="8"/>
  <c r="Q137" i="8" s="1"/>
  <c r="M135" i="8"/>
  <c r="M137" i="8" s="1"/>
  <c r="P31" i="14"/>
  <c r="H31" i="14"/>
  <c r="N31" i="14"/>
  <c r="O135" i="8"/>
  <c r="O137" i="8" s="1"/>
  <c r="P135" i="8"/>
  <c r="P137" i="8" s="1"/>
  <c r="O31" i="14"/>
  <c r="U15" i="12"/>
  <c r="N135" i="8"/>
  <c r="N137" i="8" s="1"/>
  <c r="J31" i="14"/>
  <c r="AD15" i="12" l="1"/>
  <c r="AE15" i="12" s="1"/>
  <c r="N157" i="8"/>
  <c r="N146" i="8"/>
  <c r="N227" i="8" s="1"/>
  <c r="P157" i="8"/>
  <c r="P146" i="8"/>
  <c r="P227" i="8" s="1"/>
  <c r="Q157" i="8"/>
  <c r="Q146" i="8"/>
  <c r="Q227" i="8" s="1"/>
  <c r="O157" i="8"/>
  <c r="O146" i="8"/>
  <c r="O227" i="8" s="1"/>
  <c r="L157" i="8"/>
  <c r="L146" i="8"/>
  <c r="L227" i="8" s="1"/>
  <c r="M157" i="8"/>
  <c r="M146" i="8"/>
  <c r="V15" i="12"/>
  <c r="W15" i="12"/>
  <c r="M215" i="8" l="1"/>
  <c r="M227" i="8"/>
  <c r="L215" i="8"/>
  <c r="Q215" i="8"/>
  <c r="N215" i="8"/>
  <c r="AD19" i="12"/>
  <c r="O215" i="8"/>
  <c r="K135" i="8"/>
  <c r="K137" i="8" s="1"/>
  <c r="J135" i="8"/>
  <c r="J137" i="8" s="1"/>
  <c r="I135" i="8"/>
  <c r="I137" i="8" s="1"/>
  <c r="H135" i="8"/>
  <c r="H137" i="8" s="1"/>
  <c r="G135" i="8"/>
  <c r="G137" i="8" s="1"/>
  <c r="P215" i="8"/>
  <c r="AH15" i="12" l="1"/>
  <c r="AI15" i="12" s="1"/>
  <c r="AF15" i="12"/>
  <c r="AE3" i="12" s="1"/>
  <c r="H157" i="8"/>
  <c r="H146" i="8"/>
  <c r="H227" i="8" s="1"/>
  <c r="I157" i="8"/>
  <c r="I146" i="8"/>
  <c r="I227" i="8" s="1"/>
  <c r="J157" i="8"/>
  <c r="J146" i="8"/>
  <c r="J227" i="8" s="1"/>
  <c r="G157" i="8"/>
  <c r="K157" i="8"/>
  <c r="K146" i="8"/>
  <c r="K227" i="8" s="1"/>
  <c r="AE19" i="12"/>
  <c r="G20" i="11" s="1"/>
  <c r="D43" i="20" s="1"/>
  <c r="D46" i="20" s="1"/>
  <c r="K31" i="14"/>
  <c r="Q31" i="14"/>
  <c r="G23" i="11" l="1"/>
  <c r="G34" i="11" s="1"/>
  <c r="AI19" i="12"/>
  <c r="AH19" i="12"/>
  <c r="G35" i="11"/>
  <c r="K215" i="8"/>
  <c r="J215" i="8"/>
  <c r="H215" i="8"/>
  <c r="E31" i="14"/>
  <c r="I215" i="8"/>
  <c r="E43" i="20" l="1"/>
  <c r="E46" i="20" s="1"/>
  <c r="F135" i="8"/>
  <c r="E132" i="8"/>
  <c r="L137" i="13" l="1"/>
  <c r="M137" i="13" s="1"/>
  <c r="D137" i="2"/>
  <c r="D140" i="2" s="1"/>
  <c r="G50" i="13" s="1"/>
  <c r="E135" i="8"/>
  <c r="F137" i="8"/>
  <c r="F157" i="8" l="1"/>
  <c r="F146" i="8"/>
  <c r="F227" i="8" s="1"/>
  <c r="D142" i="2"/>
  <c r="D144" i="2"/>
  <c r="G52" i="13" s="1"/>
  <c r="F140" i="2"/>
  <c r="E137" i="8"/>
  <c r="E157" i="8" s="1"/>
  <c r="F144" i="2" l="1"/>
  <c r="F148" i="8"/>
  <c r="F215" i="8"/>
  <c r="G146" i="8" l="1"/>
  <c r="D31" i="14"/>
  <c r="I31" i="14"/>
  <c r="G148" i="8" l="1"/>
  <c r="H148" i="8" s="1"/>
  <c r="I148" i="8" s="1"/>
  <c r="J148" i="8" s="1"/>
  <c r="K148" i="8" s="1"/>
  <c r="L148" i="8" s="1"/>
  <c r="M148" i="8" s="1"/>
  <c r="N148" i="8" s="1"/>
  <c r="O148" i="8" s="1"/>
  <c r="P148" i="8" s="1"/>
  <c r="Q148" i="8" s="1"/>
  <c r="G227" i="8"/>
  <c r="E141" i="8"/>
  <c r="E146" i="8" l="1"/>
  <c r="D149" i="2"/>
  <c r="D155" i="2" s="1"/>
  <c r="G215" i="8"/>
  <c r="E215" i="8" l="1"/>
  <c r="N15" i="12" l="1"/>
  <c r="S15" i="12" s="1"/>
  <c r="N18" i="12"/>
  <c r="S18" i="12" s="1"/>
  <c r="N63" i="12"/>
  <c r="O36" i="14"/>
  <c r="AA18" i="12" l="1"/>
  <c r="Z18" i="12"/>
  <c r="AA15" i="12"/>
  <c r="Z15" i="12"/>
  <c r="H35" i="14"/>
  <c r="H40" i="14"/>
  <c r="H41" i="14"/>
  <c r="J45" i="14"/>
  <c r="O43" i="14"/>
  <c r="Q36" i="14"/>
  <c r="J44" i="14"/>
  <c r="O44" i="14"/>
  <c r="I42" i="14"/>
  <c r="I38" i="14"/>
  <c r="N40" i="14"/>
  <c r="N41" i="14"/>
  <c r="I41" i="14"/>
  <c r="I37" i="14"/>
  <c r="Q38" i="14"/>
  <c r="Q40" i="14"/>
  <c r="P40" i="14"/>
  <c r="J38" i="14"/>
  <c r="K37" i="14"/>
  <c r="Q43" i="14"/>
  <c r="O46" i="14"/>
  <c r="P36" i="14"/>
  <c r="H45" i="14"/>
  <c r="I35" i="14"/>
  <c r="H46" i="14"/>
  <c r="K35" i="14"/>
  <c r="O35" i="14"/>
  <c r="N35" i="14"/>
  <c r="J40" i="14"/>
  <c r="I40" i="14"/>
  <c r="P41" i="14"/>
  <c r="I44" i="14"/>
  <c r="J41" i="14"/>
  <c r="I46" i="14"/>
  <c r="Q37" i="14"/>
  <c r="P39" i="14"/>
  <c r="N38" i="14"/>
  <c r="J39" i="14"/>
  <c r="K44" i="14"/>
  <c r="Q45" i="14"/>
  <c r="N36" i="14"/>
  <c r="P43" i="14"/>
  <c r="J36" i="14"/>
  <c r="K41" i="14"/>
  <c r="Q46" i="14"/>
  <c r="O38" i="14"/>
  <c r="N45" i="14"/>
  <c r="H36" i="14"/>
  <c r="H37" i="14"/>
  <c r="H42" i="14"/>
  <c r="J35" i="14"/>
  <c r="O45" i="14"/>
  <c r="Q42" i="14"/>
  <c r="J42" i="14"/>
  <c r="O41" i="14"/>
  <c r="Q41" i="14"/>
  <c r="I45" i="14"/>
  <c r="K45" i="14"/>
  <c r="Q39" i="14"/>
  <c r="O40" i="14"/>
  <c r="N37" i="14"/>
  <c r="K43" i="14"/>
  <c r="K39" i="14"/>
  <c r="O37" i="14"/>
  <c r="N43" i="14"/>
  <c r="N39" i="14"/>
  <c r="K36" i="14"/>
  <c r="I43" i="14"/>
  <c r="Q44" i="14"/>
  <c r="P46" i="14"/>
  <c r="P37" i="14"/>
  <c r="H39" i="14"/>
  <c r="H38" i="14"/>
  <c r="H44" i="14"/>
  <c r="H43" i="14"/>
  <c r="P35" i="14"/>
  <c r="Q35" i="14"/>
  <c r="P44" i="14"/>
  <c r="P38" i="14"/>
  <c r="K42" i="14"/>
  <c r="K40" i="14"/>
  <c r="O39" i="14"/>
  <c r="J46" i="14"/>
  <c r="K46" i="14"/>
  <c r="O42" i="14"/>
  <c r="N42" i="14"/>
  <c r="P42" i="14"/>
  <c r="J43" i="14"/>
  <c r="K38" i="14"/>
  <c r="P45" i="14"/>
  <c r="N46" i="14"/>
  <c r="I39" i="14"/>
  <c r="I36" i="14"/>
  <c r="J37" i="14"/>
  <c r="N44" i="14"/>
  <c r="Q47" i="14" l="1"/>
  <c r="P47" i="14"/>
  <c r="D39" i="14"/>
  <c r="J194" i="8" s="1"/>
  <c r="J200" i="8" s="1"/>
  <c r="J203" i="8" s="1"/>
  <c r="J228" i="8" s="1"/>
  <c r="D36" i="14"/>
  <c r="G194" i="8" s="1"/>
  <c r="G200" i="8" s="1"/>
  <c r="G203" i="8" s="1"/>
  <c r="G228" i="8" s="1"/>
  <c r="N47" i="14"/>
  <c r="I47" i="14"/>
  <c r="D43" i="14"/>
  <c r="N194" i="8" s="1"/>
  <c r="N200" i="8" s="1"/>
  <c r="N203" i="8" s="1"/>
  <c r="N228" i="8" s="1"/>
  <c r="J47" i="14"/>
  <c r="O47" i="14"/>
  <c r="D45" i="14"/>
  <c r="P194" i="8" s="1"/>
  <c r="P200" i="8" s="1"/>
  <c r="P203" i="8" s="1"/>
  <c r="P228" i="8" s="1"/>
  <c r="D41" i="14"/>
  <c r="L194" i="8" s="1"/>
  <c r="L200" i="8" s="1"/>
  <c r="L203" i="8" s="1"/>
  <c r="L228" i="8" s="1"/>
  <c r="D44" i="14"/>
  <c r="O194" i="8" s="1"/>
  <c r="O200" i="8" s="1"/>
  <c r="O203" i="8" s="1"/>
  <c r="O228" i="8" s="1"/>
  <c r="D42" i="14"/>
  <c r="M194" i="8" s="1"/>
  <c r="M200" i="8" s="1"/>
  <c r="M203" i="8" s="1"/>
  <c r="M228" i="8" s="1"/>
  <c r="K47" i="14"/>
  <c r="D40" i="14"/>
  <c r="K194" i="8" s="1"/>
  <c r="K200" i="8" s="1"/>
  <c r="K203" i="8" s="1"/>
  <c r="K228" i="8" s="1"/>
  <c r="D38" i="14"/>
  <c r="I194" i="8" s="1"/>
  <c r="I200" i="8" s="1"/>
  <c r="I203" i="8" s="1"/>
  <c r="I228" i="8" s="1"/>
  <c r="D37" i="14"/>
  <c r="H194" i="8" s="1"/>
  <c r="H200" i="8" s="1"/>
  <c r="H203" i="8" s="1"/>
  <c r="H228" i="8" s="1"/>
  <c r="D46" i="14"/>
  <c r="Q194" i="8" s="1"/>
  <c r="Q200" i="8" s="1"/>
  <c r="Q203" i="8" s="1"/>
  <c r="Q228" i="8" s="1"/>
  <c r="H47" i="14"/>
  <c r="D35" i="14"/>
  <c r="L216" i="8" l="1"/>
  <c r="H216" i="8"/>
  <c r="M216" i="8"/>
  <c r="I216" i="8"/>
  <c r="O216" i="8"/>
  <c r="G216" i="8"/>
  <c r="K216" i="8"/>
  <c r="N216" i="8"/>
  <c r="J216" i="8"/>
  <c r="F194" i="8"/>
  <c r="D47" i="14"/>
  <c r="Q216" i="8"/>
  <c r="P216" i="8"/>
  <c r="E194" i="8" l="1"/>
  <c r="F200" i="8"/>
  <c r="F203" i="8" s="1"/>
  <c r="F228" i="8" s="1"/>
  <c r="D199" i="2" l="1"/>
  <c r="D205" i="2" s="1"/>
  <c r="E200" i="8"/>
  <c r="E203" i="8" s="1"/>
  <c r="E216" i="8" l="1"/>
  <c r="F205" i="8"/>
  <c r="F216" i="8"/>
  <c r="G205" i="8" l="1"/>
  <c r="H205" i="8" l="1"/>
  <c r="I205" i="8" l="1"/>
  <c r="J205" i="8" l="1"/>
  <c r="K205" i="8" l="1"/>
  <c r="L205" i="8" l="1"/>
  <c r="M205" i="8" l="1"/>
  <c r="N205" i="8" l="1"/>
  <c r="O205" i="8" l="1"/>
  <c r="P205" i="8" l="1"/>
  <c r="Q205" i="8" l="1"/>
  <c r="N71" i="12" l="1"/>
  <c r="K74" i="12"/>
  <c r="K71" i="12"/>
  <c r="K73" i="12"/>
  <c r="K72" i="12"/>
  <c r="K65" i="12"/>
  <c r="K64" i="12"/>
  <c r="K63" i="12"/>
  <c r="K66" i="12"/>
  <c r="K56" i="12"/>
  <c r="K55" i="12"/>
  <c r="K57" i="12"/>
  <c r="K58" i="12"/>
  <c r="K34" i="12"/>
  <c r="K33" i="12"/>
  <c r="K31" i="12"/>
  <c r="K32" i="12"/>
  <c r="K25" i="12"/>
  <c r="K24" i="12"/>
  <c r="K23" i="12"/>
  <c r="K26" i="12"/>
  <c r="AB55" i="12" l="1"/>
  <c r="N55" i="12" s="1"/>
  <c r="S55" i="12" s="1"/>
  <c r="AB16" i="12"/>
  <c r="N16" i="12" s="1"/>
  <c r="AA55" i="12" l="1"/>
  <c r="Z55" i="12"/>
  <c r="S16" i="12"/>
  <c r="C30" i="2"/>
  <c r="AA16" i="12" l="1"/>
  <c r="Z16" i="12"/>
  <c r="D32" i="19"/>
  <c r="D34" i="19"/>
  <c r="D35" i="19"/>
  <c r="D33" i="19"/>
  <c r="C83" i="2"/>
  <c r="C86" i="2" s="1"/>
  <c r="E30" i="2"/>
  <c r="AA3" i="12"/>
  <c r="E37" i="20" s="1"/>
  <c r="Z3" i="12"/>
  <c r="B22" i="5" s="1"/>
  <c r="B26" i="5" s="1"/>
  <c r="G12" i="11" s="1"/>
  <c r="D37" i="20" s="1"/>
  <c r="C76" i="2"/>
  <c r="D36" i="19" l="1"/>
  <c r="D26" i="19"/>
  <c r="D24" i="19"/>
  <c r="C98" i="2"/>
  <c r="C208" i="2" s="1"/>
  <c r="C1" i="2" s="1"/>
  <c r="E76" i="2"/>
  <c r="Q93" i="8"/>
  <c r="D23" i="19"/>
  <c r="AB47" i="12"/>
  <c r="N3" i="14" s="1"/>
  <c r="H14" i="14"/>
  <c r="N47" i="12"/>
  <c r="E93" i="8" l="1"/>
  <c r="E92" i="8"/>
  <c r="E82" i="8"/>
  <c r="H13" i="14"/>
  <c r="Q12" i="14"/>
  <c r="Q10" i="14"/>
  <c r="K14" i="14"/>
  <c r="Q13" i="14"/>
  <c r="Q9" i="14"/>
  <c r="K7" i="14"/>
  <c r="Q14" i="14"/>
  <c r="Q11" i="14"/>
  <c r="K5" i="14"/>
  <c r="N14" i="14"/>
  <c r="N13" i="14"/>
  <c r="N12" i="14"/>
  <c r="N11" i="14"/>
  <c r="N10" i="14"/>
  <c r="N9" i="14"/>
  <c r="Q7" i="14"/>
  <c r="Q5" i="14"/>
  <c r="K13" i="14"/>
  <c r="K12" i="14"/>
  <c r="K11" i="14"/>
  <c r="K10" i="14"/>
  <c r="K9" i="14"/>
  <c r="K8" i="14"/>
  <c r="K6" i="14"/>
  <c r="K4" i="14"/>
  <c r="H12" i="14"/>
  <c r="H11" i="14"/>
  <c r="H10" i="14"/>
  <c r="H9" i="14"/>
  <c r="Q8" i="14"/>
  <c r="Q6" i="14"/>
  <c r="Q4" i="14"/>
  <c r="P14" i="14"/>
  <c r="P13" i="14"/>
  <c r="J12" i="14"/>
  <c r="P12" i="14"/>
  <c r="J11" i="14"/>
  <c r="P11" i="14"/>
  <c r="J10" i="14"/>
  <c r="P10" i="14"/>
  <c r="J9" i="14"/>
  <c r="P9" i="14"/>
  <c r="J8" i="14"/>
  <c r="P8" i="14"/>
  <c r="J7" i="14"/>
  <c r="P7" i="14"/>
  <c r="J6" i="14"/>
  <c r="P6" i="14"/>
  <c r="J5" i="14"/>
  <c r="P5" i="14"/>
  <c r="J4" i="14"/>
  <c r="P4" i="14"/>
  <c r="J3" i="14"/>
  <c r="P3" i="14"/>
  <c r="K3" i="14"/>
  <c r="Q3" i="14"/>
  <c r="J14" i="14"/>
  <c r="J13" i="14"/>
  <c r="I14" i="14"/>
  <c r="O14" i="14"/>
  <c r="I13" i="14"/>
  <c r="O13" i="14"/>
  <c r="I12" i="14"/>
  <c r="O12" i="14"/>
  <c r="I11" i="14"/>
  <c r="O11" i="14"/>
  <c r="I10" i="14"/>
  <c r="O10" i="14"/>
  <c r="I9" i="14"/>
  <c r="O9" i="14"/>
  <c r="I8" i="14"/>
  <c r="O8" i="14"/>
  <c r="I7" i="14"/>
  <c r="O7" i="14"/>
  <c r="I6" i="14"/>
  <c r="O6" i="14"/>
  <c r="I5" i="14"/>
  <c r="O5" i="14"/>
  <c r="I4" i="14"/>
  <c r="O4" i="14"/>
  <c r="I3" i="14"/>
  <c r="O3" i="14"/>
  <c r="H8" i="14"/>
  <c r="D8" i="14" s="1"/>
  <c r="K72" i="8" s="1"/>
  <c r="N8" i="14"/>
  <c r="H7" i="14"/>
  <c r="N7" i="14"/>
  <c r="H6" i="14"/>
  <c r="N6" i="14"/>
  <c r="H5" i="14"/>
  <c r="N5" i="14"/>
  <c r="H4" i="14"/>
  <c r="N4" i="14"/>
  <c r="H3" i="14"/>
  <c r="I15" i="14" l="1"/>
  <c r="K15" i="14"/>
  <c r="J15" i="14"/>
  <c r="D6" i="14"/>
  <c r="I72" i="8" s="1"/>
  <c r="E7" i="14"/>
  <c r="J61" i="8" s="1"/>
  <c r="J66" i="8" s="1"/>
  <c r="J68" i="8" s="1"/>
  <c r="J95" i="8" s="1"/>
  <c r="E12" i="14"/>
  <c r="O61" i="8" s="1"/>
  <c r="O66" i="8" s="1"/>
  <c r="O68" i="8" s="1"/>
  <c r="O95" i="8" s="1"/>
  <c r="D87" i="2"/>
  <c r="D23" i="2"/>
  <c r="D30" i="2" s="1"/>
  <c r="D5" i="14"/>
  <c r="H72" i="8" s="1"/>
  <c r="E13" i="14"/>
  <c r="P61" i="8" s="1"/>
  <c r="P66" i="8" s="1"/>
  <c r="P68" i="8" s="1"/>
  <c r="P95" i="8" s="1"/>
  <c r="E9" i="14"/>
  <c r="L61" i="8" s="1"/>
  <c r="L66" i="8" s="1"/>
  <c r="L68" i="8" s="1"/>
  <c r="L95" i="8" s="1"/>
  <c r="E8" i="14"/>
  <c r="K61" i="8" s="1"/>
  <c r="K66" i="8" s="1"/>
  <c r="K68" i="8" s="1"/>
  <c r="K95" i="8" s="1"/>
  <c r="E10" i="14"/>
  <c r="M61" i="8" s="1"/>
  <c r="Q15" i="14"/>
  <c r="D12" i="14"/>
  <c r="O72" i="8" s="1"/>
  <c r="D9" i="14"/>
  <c r="L72" i="8" s="1"/>
  <c r="D11" i="14"/>
  <c r="N72" i="8" s="1"/>
  <c r="D10" i="14"/>
  <c r="M72" i="8" s="1"/>
  <c r="E5" i="14"/>
  <c r="H61" i="8" s="1"/>
  <c r="H66" i="8" s="1"/>
  <c r="H68" i="8" s="1"/>
  <c r="H95" i="8" s="1"/>
  <c r="E11" i="14"/>
  <c r="N61" i="8" s="1"/>
  <c r="N66" i="8" s="1"/>
  <c r="N68" i="8" s="1"/>
  <c r="N95" i="8" s="1"/>
  <c r="D7" i="14"/>
  <c r="J72" i="8" s="1"/>
  <c r="D4" i="14"/>
  <c r="G72" i="8" s="1"/>
  <c r="D14" i="14"/>
  <c r="Q72" i="8" s="1"/>
  <c r="D13" i="14"/>
  <c r="P72" i="8" s="1"/>
  <c r="E6" i="14"/>
  <c r="I61" i="8" s="1"/>
  <c r="I66" i="8" s="1"/>
  <c r="I68" i="8" s="1"/>
  <c r="I95" i="8" s="1"/>
  <c r="E3" i="14"/>
  <c r="F61" i="8" s="1"/>
  <c r="F66" i="8" s="1"/>
  <c r="E14" i="14"/>
  <c r="Q61" i="8" s="1"/>
  <c r="Q66" i="8" s="1"/>
  <c r="Q68" i="8" s="1"/>
  <c r="Q95" i="8" s="1"/>
  <c r="H15" i="14"/>
  <c r="O15" i="14"/>
  <c r="N15" i="14"/>
  <c r="D3" i="14"/>
  <c r="F72" i="8" s="1"/>
  <c r="P15" i="14"/>
  <c r="E4" i="14"/>
  <c r="G61" i="8" s="1"/>
  <c r="G66" i="8" s="1"/>
  <c r="G68" i="8" s="1"/>
  <c r="G95" i="8" s="1"/>
  <c r="E35" i="19" l="1"/>
  <c r="K55" i="13" s="1"/>
  <c r="G45" i="13"/>
  <c r="G56" i="13" s="1"/>
  <c r="J77" i="8"/>
  <c r="J214" i="8" s="1"/>
  <c r="F30" i="2"/>
  <c r="D83" i="2"/>
  <c r="O77" i="8"/>
  <c r="O214" i="8" s="1"/>
  <c r="L77" i="8"/>
  <c r="L214" i="8" s="1"/>
  <c r="K77" i="8"/>
  <c r="K214" i="8" s="1"/>
  <c r="P77" i="8"/>
  <c r="P226" i="8" s="1"/>
  <c r="H77" i="8"/>
  <c r="H214" i="8" s="1"/>
  <c r="G77" i="8"/>
  <c r="G226" i="8" s="1"/>
  <c r="N77" i="8"/>
  <c r="N226" i="8" s="1"/>
  <c r="Q77" i="8"/>
  <c r="Q214" i="8" s="1"/>
  <c r="I77" i="8"/>
  <c r="I214" i="8" s="1"/>
  <c r="D15" i="14"/>
  <c r="E15" i="14"/>
  <c r="D29" i="19" s="1"/>
  <c r="E61" i="8"/>
  <c r="E34" i="19" s="1"/>
  <c r="M66" i="8"/>
  <c r="M68" i="8" s="1"/>
  <c r="E72" i="8"/>
  <c r="E73" i="8"/>
  <c r="AG20" i="15" s="1"/>
  <c r="F68" i="8"/>
  <c r="J226" i="8" l="1"/>
  <c r="J208" i="8"/>
  <c r="J218" i="8" s="1"/>
  <c r="L91" i="13"/>
  <c r="M91" i="13" s="1"/>
  <c r="G35" i="19"/>
  <c r="L55" i="13" s="1"/>
  <c r="F35" i="19"/>
  <c r="O226" i="8"/>
  <c r="O208" i="8"/>
  <c r="O218" i="8" s="1"/>
  <c r="M77" i="8"/>
  <c r="M95" i="8"/>
  <c r="F77" i="8"/>
  <c r="F95" i="8"/>
  <c r="L226" i="8"/>
  <c r="K226" i="8"/>
  <c r="L208" i="8"/>
  <c r="L218" i="8" s="1"/>
  <c r="P214" i="8"/>
  <c r="K208" i="8"/>
  <c r="K218" i="8" s="1"/>
  <c r="H226" i="8"/>
  <c r="H208" i="8"/>
  <c r="H218" i="8" s="1"/>
  <c r="N208" i="8"/>
  <c r="N218" i="8" s="1"/>
  <c r="G214" i="8"/>
  <c r="G208" i="8"/>
  <c r="G218" i="8" s="1"/>
  <c r="P208" i="8"/>
  <c r="P218" i="8" s="1"/>
  <c r="N214" i="8"/>
  <c r="D64" i="2"/>
  <c r="I208" i="8"/>
  <c r="I218" i="8" s="1"/>
  <c r="AG26" i="15"/>
  <c r="E33" i="20"/>
  <c r="I226" i="8"/>
  <c r="Q226" i="8"/>
  <c r="Q208" i="8"/>
  <c r="Q218" i="8" s="1"/>
  <c r="D90" i="2"/>
  <c r="E66" i="8"/>
  <c r="E68" i="8"/>
  <c r="F34" i="19" l="1"/>
  <c r="O34" i="19" s="1"/>
  <c r="K54" i="13"/>
  <c r="P54" i="13" s="1"/>
  <c r="O35" i="19"/>
  <c r="N137" i="13"/>
  <c r="N125" i="13"/>
  <c r="N93" i="13"/>
  <c r="N106" i="13"/>
  <c r="N98" i="13"/>
  <c r="N134" i="13"/>
  <c r="N116" i="13"/>
  <c r="N103" i="13"/>
  <c r="N136" i="13"/>
  <c r="N128" i="13"/>
  <c r="N104" i="13"/>
  <c r="N99" i="13"/>
  <c r="N127" i="13"/>
  <c r="N89" i="13"/>
  <c r="N126" i="13"/>
  <c r="N102" i="13"/>
  <c r="N88" i="13"/>
  <c r="N130" i="13"/>
  <c r="N132" i="13"/>
  <c r="N96" i="13"/>
  <c r="N109" i="13"/>
  <c r="N122" i="13"/>
  <c r="N131" i="13"/>
  <c r="N135" i="13"/>
  <c r="N119" i="13"/>
  <c r="N94" i="13"/>
  <c r="N117" i="13"/>
  <c r="N138" i="13"/>
  <c r="N120" i="13"/>
  <c r="N118" i="13"/>
  <c r="N92" i="13"/>
  <c r="N105" i="13"/>
  <c r="N113" i="13"/>
  <c r="N95" i="13"/>
  <c r="N123" i="13"/>
  <c r="N112" i="13"/>
  <c r="N91" i="13"/>
  <c r="N133" i="13"/>
  <c r="N86" i="13"/>
  <c r="N84" i="13"/>
  <c r="N97" i="13"/>
  <c r="N110" i="13"/>
  <c r="N114" i="13"/>
  <c r="N129" i="13"/>
  <c r="N101" i="13"/>
  <c r="N139" i="13"/>
  <c r="N108" i="13"/>
  <c r="N121" i="13"/>
  <c r="N124" i="13"/>
  <c r="N107" i="13"/>
  <c r="N90" i="13"/>
  <c r="N85" i="13"/>
  <c r="N100" i="13"/>
  <c r="N87" i="13"/>
  <c r="N115" i="13"/>
  <c r="N111" i="13"/>
  <c r="G34" i="19"/>
  <c r="L54" i="13" s="1"/>
  <c r="D72" i="2"/>
  <c r="F64" i="2"/>
  <c r="R55" i="13"/>
  <c r="Q35" i="19"/>
  <c r="E77" i="8"/>
  <c r="E95" i="8"/>
  <c r="M208" i="8"/>
  <c r="M218" i="8" s="1"/>
  <c r="M214" i="8"/>
  <c r="M226" i="8"/>
  <c r="F226" i="8"/>
  <c r="F214" i="8"/>
  <c r="F79" i="8"/>
  <c r="G79" i="8" s="1"/>
  <c r="H79" i="8" s="1"/>
  <c r="I79" i="8" s="1"/>
  <c r="J79" i="8" s="1"/>
  <c r="K79" i="8" s="1"/>
  <c r="L79" i="8" s="1"/>
  <c r="M79" i="8" s="1"/>
  <c r="N79" i="8" s="1"/>
  <c r="O79" i="8" s="1"/>
  <c r="P79" i="8" s="1"/>
  <c r="Q79" i="8" s="1"/>
  <c r="F208" i="8"/>
  <c r="F218" i="8" s="1"/>
  <c r="F210" i="8"/>
  <c r="R54" i="13" l="1"/>
  <c r="Q34" i="19"/>
  <c r="S34" i="19" s="1"/>
  <c r="S35" i="19"/>
  <c r="T55" i="13"/>
  <c r="D85" i="2"/>
  <c r="D86" i="2" s="1"/>
  <c r="G47" i="13"/>
  <c r="G58" i="13" s="1"/>
  <c r="S88" i="13"/>
  <c r="T88" i="13" s="1"/>
  <c r="U88" i="13" s="1"/>
  <c r="S92" i="13"/>
  <c r="T92" i="13" s="1"/>
  <c r="U92" i="13" s="1"/>
  <c r="S87" i="13"/>
  <c r="T87" i="13" s="1"/>
  <c r="U87" i="13" s="1"/>
  <c r="S85" i="13"/>
  <c r="T85" i="13" s="1"/>
  <c r="U85" i="13" s="1"/>
  <c r="S89" i="13"/>
  <c r="T89" i="13" s="1"/>
  <c r="U89" i="13" s="1"/>
  <c r="S93" i="13"/>
  <c r="T93" i="13" s="1"/>
  <c r="U93" i="13" s="1"/>
  <c r="S86" i="13"/>
  <c r="T86" i="13" s="1"/>
  <c r="U86" i="13" s="1"/>
  <c r="S90" i="13"/>
  <c r="T90" i="13" s="1"/>
  <c r="U90" i="13" s="1"/>
  <c r="S84" i="13"/>
  <c r="T84" i="13" s="1"/>
  <c r="U84" i="13" s="1"/>
  <c r="S91" i="13"/>
  <c r="T91" i="13" s="1"/>
  <c r="U91" i="13" s="1"/>
  <c r="D74" i="2"/>
  <c r="E33" i="19" s="1"/>
  <c r="F72" i="2"/>
  <c r="E208" i="8"/>
  <c r="E218" i="8" s="1"/>
  <c r="E214" i="8"/>
  <c r="G8" i="8"/>
  <c r="G210" i="8" s="1"/>
  <c r="G225" i="8"/>
  <c r="F230" i="8"/>
  <c r="P55" i="13" l="1"/>
  <c r="T54" i="13"/>
  <c r="T94" i="13"/>
  <c r="U94" i="13" s="1"/>
  <c r="D76" i="2"/>
  <c r="G51" i="13" s="1"/>
  <c r="H225" i="8"/>
  <c r="H8" i="8"/>
  <c r="H210" i="8" s="1"/>
  <c r="G230" i="8"/>
  <c r="E26" i="19" l="1"/>
  <c r="F26" i="19" s="1"/>
  <c r="Q26" i="19" s="1"/>
  <c r="E36" i="19"/>
  <c r="K56" i="13" s="1"/>
  <c r="P56" i="13" s="1"/>
  <c r="E29" i="19"/>
  <c r="G53" i="13"/>
  <c r="G60" i="13" s="1"/>
  <c r="G59" i="13"/>
  <c r="F33" i="19"/>
  <c r="K53" i="13" s="1"/>
  <c r="G33" i="19"/>
  <c r="L53" i="13" s="1"/>
  <c r="F76" i="2"/>
  <c r="D98" i="2"/>
  <c r="D208" i="2" s="1"/>
  <c r="D1" i="2" s="1"/>
  <c r="E23" i="19"/>
  <c r="F23" i="19" s="1"/>
  <c r="O23" i="19" s="1"/>
  <c r="H230" i="8"/>
  <c r="I8" i="8"/>
  <c r="I210" i="8" s="1"/>
  <c r="I225" i="8"/>
  <c r="P53" i="13" l="1"/>
  <c r="Q33" i="19"/>
  <c r="M33" i="19"/>
  <c r="M26" i="19"/>
  <c r="O26" i="19"/>
  <c r="O33" i="19"/>
  <c r="G26" i="19"/>
  <c r="L50" i="13" s="1"/>
  <c r="K50" i="13"/>
  <c r="P50" i="13" s="1"/>
  <c r="R50" i="13"/>
  <c r="F36" i="19"/>
  <c r="Q36" i="19" s="1"/>
  <c r="G36" i="19"/>
  <c r="L56" i="13" s="1"/>
  <c r="R53" i="13"/>
  <c r="G23" i="19"/>
  <c r="Q23" i="19"/>
  <c r="S23" i="19" s="1"/>
  <c r="I230" i="8"/>
  <c r="J225" i="8"/>
  <c r="J8" i="8"/>
  <c r="J210" i="8" s="1"/>
  <c r="O36" i="19" l="1"/>
  <c r="S26" i="19"/>
  <c r="T50" i="13"/>
  <c r="S33" i="19"/>
  <c r="T53" i="13"/>
  <c r="R56" i="13"/>
  <c r="K225" i="8"/>
  <c r="J230" i="8"/>
  <c r="K8" i="8"/>
  <c r="K210" i="8" s="1"/>
  <c r="S36" i="19" l="1"/>
  <c r="T56" i="13"/>
  <c r="L8" i="8"/>
  <c r="L210" i="8" s="1"/>
  <c r="L225" i="8"/>
  <c r="K230" i="8"/>
  <c r="M8" i="8" l="1"/>
  <c r="M210" i="8" s="1"/>
  <c r="M225" i="8"/>
  <c r="L230" i="8"/>
  <c r="N8" i="8" l="1"/>
  <c r="N210" i="8" s="1"/>
  <c r="M230" i="8"/>
  <c r="N225" i="8"/>
  <c r="N230" i="8" l="1"/>
  <c r="O225" i="8"/>
  <c r="O8" i="8"/>
  <c r="O210" i="8" s="1"/>
  <c r="P225" i="8" l="1"/>
  <c r="O230" i="8"/>
  <c r="P8" i="8"/>
  <c r="P210" i="8" s="1"/>
  <c r="Q225" i="8" l="1"/>
  <c r="Q8" i="8"/>
  <c r="Q210" i="8" s="1"/>
  <c r="Q230" i="8" s="1"/>
  <c r="E5" i="20" s="1"/>
  <c r="E14" i="20" s="1"/>
  <c r="P230" i="8"/>
  <c r="E29" i="20" l="1"/>
  <c r="AH43" i="12"/>
  <c r="AD51" i="12"/>
  <c r="AH35" i="12"/>
  <c r="AH59" i="12"/>
  <c r="AH51" i="12"/>
  <c r="AH75" i="12"/>
  <c r="E76" i="20" s="1"/>
  <c r="AH67" i="12"/>
  <c r="E73" i="20" s="1"/>
  <c r="AH27" i="12"/>
  <c r="AD27" i="12"/>
  <c r="E32" i="19" l="1"/>
  <c r="F32" i="19" s="1"/>
  <c r="E24" i="19"/>
  <c r="F29" i="19"/>
  <c r="K51" i="13" s="1"/>
  <c r="G29" i="19"/>
  <c r="L51" i="13" s="1"/>
  <c r="E78" i="20"/>
  <c r="E80" i="20" s="1"/>
  <c r="AD1" i="12"/>
  <c r="G9" i="11" s="1"/>
  <c r="D34" i="20" s="1"/>
  <c r="D40" i="20" s="1"/>
  <c r="D55" i="20" s="1"/>
  <c r="D57" i="20" s="1"/>
  <c r="AH1" i="12"/>
  <c r="E34" i="20" s="1"/>
  <c r="E40" i="20" s="1"/>
  <c r="E13" i="19" s="1"/>
  <c r="D25" i="19" l="1"/>
  <c r="G32" i="19"/>
  <c r="L52" i="13" s="1"/>
  <c r="O29" i="19"/>
  <c r="P51" i="13"/>
  <c r="Q32" i="19"/>
  <c r="T52" i="13" s="1"/>
  <c r="O32" i="19"/>
  <c r="Q29" i="19"/>
  <c r="T51" i="13" s="1"/>
  <c r="K52" i="13"/>
  <c r="P52" i="13" s="1"/>
  <c r="R51" i="13"/>
  <c r="R52" i="13"/>
  <c r="F24" i="19"/>
  <c r="G17" i="11"/>
  <c r="C43" i="11" s="1"/>
  <c r="D13" i="19" s="1"/>
  <c r="E55" i="20"/>
  <c r="E14" i="19"/>
  <c r="E15" i="19" s="1"/>
  <c r="D82" i="20"/>
  <c r="E18" i="19" l="1"/>
  <c r="K48" i="13"/>
  <c r="P48" i="13" s="1"/>
  <c r="O24" i="19"/>
  <c r="S29" i="19"/>
  <c r="S32" i="19"/>
  <c r="R48" i="13"/>
  <c r="Q24" i="19"/>
  <c r="T48" i="13" s="1"/>
  <c r="G24" i="19"/>
  <c r="L48" i="13" s="1"/>
  <c r="G33" i="11"/>
  <c r="G36" i="11" s="1"/>
  <c r="E57" i="20"/>
  <c r="E25" i="19" s="1"/>
  <c r="G13" i="19"/>
  <c r="L43" i="13" s="1"/>
  <c r="F13" i="19"/>
  <c r="E20" i="19" l="1"/>
  <c r="K43" i="13"/>
  <c r="P43" i="13" s="1"/>
  <c r="O13" i="19"/>
  <c r="S24" i="19"/>
  <c r="R43" i="13"/>
  <c r="Q13" i="19"/>
  <c r="E19" i="19"/>
  <c r="C44" i="11"/>
  <c r="D14" i="19" s="1"/>
  <c r="D15" i="19" s="1"/>
  <c r="E82" i="20"/>
  <c r="D39" i="11"/>
  <c r="D40" i="11" s="1"/>
  <c r="F44" i="11" s="1"/>
  <c r="D20" i="19" s="1"/>
  <c r="F43" i="11"/>
  <c r="D18" i="19" s="1"/>
  <c r="G18" i="19" s="1"/>
  <c r="L45" i="13" s="1"/>
  <c r="G58" i="11"/>
  <c r="G60" i="11" s="1"/>
  <c r="D61" i="11" s="1"/>
  <c r="S13" i="19" l="1"/>
  <c r="T43" i="13"/>
  <c r="F14" i="19"/>
  <c r="F18" i="19"/>
  <c r="D19" i="19"/>
  <c r="G19" i="19" s="1"/>
  <c r="L46" i="13" s="1"/>
  <c r="F25" i="19"/>
  <c r="F15" i="19"/>
  <c r="F20" i="19"/>
  <c r="K47" i="13" s="1"/>
  <c r="P47" i="13" s="1"/>
  <c r="F19" i="19"/>
  <c r="G20" i="19"/>
  <c r="L47" i="13" s="1"/>
  <c r="Q20" i="19" l="1"/>
  <c r="T47" i="13" s="1"/>
  <c r="O20" i="19"/>
  <c r="K45" i="13"/>
  <c r="P45" i="13" s="1"/>
  <c r="O18" i="19"/>
  <c r="K44" i="13"/>
  <c r="P44" i="13" s="1"/>
  <c r="O15" i="19"/>
  <c r="Q14" i="19"/>
  <c r="S14" i="19" s="1"/>
  <c r="O14" i="19"/>
  <c r="K49" i="13"/>
  <c r="P49" i="13" s="1"/>
  <c r="U60" i="13" s="1"/>
  <c r="O25" i="19"/>
  <c r="K46" i="13"/>
  <c r="O19" i="19"/>
  <c r="Q18" i="19"/>
  <c r="G25" i="19"/>
  <c r="L49" i="13" s="1"/>
  <c r="R49" i="13"/>
  <c r="R46" i="13"/>
  <c r="R44" i="13"/>
  <c r="R47" i="13"/>
  <c r="R45" i="13"/>
  <c r="Q25" i="19"/>
  <c r="Q19" i="19"/>
  <c r="Q15" i="19"/>
  <c r="G15" i="19"/>
  <c r="L44" i="13" s="1"/>
  <c r="K60" i="13" l="1"/>
  <c r="V61" i="13" s="1"/>
  <c r="P46" i="13"/>
  <c r="S20" i="19"/>
  <c r="L60" i="13"/>
  <c r="W60" i="13"/>
  <c r="S25" i="19"/>
  <c r="T49" i="13"/>
  <c r="S18" i="19"/>
  <c r="T45" i="13"/>
  <c r="S19" i="19"/>
  <c r="T46" i="13"/>
  <c r="S15" i="19"/>
  <c r="T44" i="13"/>
  <c r="V60" i="13" l="1"/>
  <c r="X60" i="13" s="1"/>
  <c r="X65" i="13" s="1"/>
  <c r="X63" i="13" l="1"/>
  <c r="X62" i="13"/>
  <c r="X64" i="13"/>
  <c r="X66" i="13" l="1"/>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FishBiz Financials.xlsx!TabAPHideDM" type="102" refreshedVersion="5" minRefreshableVersion="5">
    <extLst>
      <ext xmlns:x15="http://schemas.microsoft.com/office/spreadsheetml/2010/11/main" uri="{DE250136-89BD-433C-8126-D09CA5730AF9}">
        <x15:connection id="TabAPHideDM-da191ae9-3a0f-4f1a-b7b9-c5ec56a45cca">
          <x15:rangePr sourceName="_xlcn.WorksheetConnection_FishBizFinancials.xlsxTabAPHideDM1"/>
        </x15:connection>
      </ext>
    </extLst>
  </connection>
  <connection id="3" name="WorksheetConnection_FishBiz Financials.xlsx!TabMPHideDM" type="102" refreshedVersion="5" minRefreshableVersion="5">
    <extLst>
      <ext xmlns:x15="http://schemas.microsoft.com/office/spreadsheetml/2010/11/main" uri="{DE250136-89BD-433C-8126-D09CA5730AF9}">
        <x15:connection id="TabMPHideDM-58a7b315-f1a3-4b28-a146-6979409ffb18">
          <x15:rangePr sourceName="_xlcn.WorksheetConnection_FishBizFinancials.xlsxTabMPHideDM1"/>
        </x15:connection>
      </ext>
    </extLst>
  </connection>
</connections>
</file>

<file path=xl/sharedStrings.xml><?xml version="1.0" encoding="utf-8"?>
<sst xmlns="http://schemas.openxmlformats.org/spreadsheetml/2006/main" count="2113" uniqueCount="558">
  <si>
    <t>Other</t>
  </si>
  <si>
    <t>Due from Processors</t>
  </si>
  <si>
    <t>Child Support / Alimony</t>
  </si>
  <si>
    <t>Other Purchases</t>
  </si>
  <si>
    <t>May</t>
  </si>
  <si>
    <t>Jan</t>
  </si>
  <si>
    <t>Feb</t>
  </si>
  <si>
    <t>Mar</t>
  </si>
  <si>
    <t>Apr</t>
  </si>
  <si>
    <t>Jun</t>
  </si>
  <si>
    <t>Jul</t>
  </si>
  <si>
    <t>Aug</t>
  </si>
  <si>
    <t>Sep</t>
  </si>
  <si>
    <t>Oct</t>
  </si>
  <si>
    <t>Nov</t>
  </si>
  <si>
    <t>Dec</t>
  </si>
  <si>
    <t>Total</t>
  </si>
  <si>
    <t>Wages &amp; Salaries</t>
  </si>
  <si>
    <t xml:space="preserve">Interest &amp; Investment Dividend Income </t>
  </si>
  <si>
    <t xml:space="preserve">Other Payments </t>
  </si>
  <si>
    <t>Business Vehicles</t>
  </si>
  <si>
    <t>Business Credit Card Debt</t>
  </si>
  <si>
    <t>Business Vehicle Loans</t>
  </si>
  <si>
    <t>Personal Real Estate</t>
  </si>
  <si>
    <t>Personal Vehicles</t>
  </si>
  <si>
    <t>Personal Credit Card Debt</t>
  </si>
  <si>
    <t>Personal Taxes Payable</t>
  </si>
  <si>
    <t>Cash Value of Life Insurance Policies</t>
  </si>
  <si>
    <t>Other Personal Liabilities</t>
  </si>
  <si>
    <t>Pre-paid Expenses</t>
  </si>
  <si>
    <t>Business Loans Receivable</t>
  </si>
  <si>
    <t>Taxes &amp; Assessments Payable</t>
  </si>
  <si>
    <t>Current Portion of Long-term Loans</t>
  </si>
  <si>
    <t>Business Real Estate Loans</t>
  </si>
  <si>
    <t>Cash in Personal Accounts</t>
  </si>
  <si>
    <t>Retirement Accounts</t>
  </si>
  <si>
    <t>Stocks &amp; Bonds</t>
  </si>
  <si>
    <t>Personal Property</t>
  </si>
  <si>
    <t>Personal Liabilities</t>
  </si>
  <si>
    <t xml:space="preserve"> Loans</t>
  </si>
  <si>
    <t xml:space="preserve"> Real Estate Loans</t>
  </si>
  <si>
    <t>Total Personal Assets</t>
  </si>
  <si>
    <t>Total Personal Liabilities</t>
  </si>
  <si>
    <t>Personal Net Worth</t>
  </si>
  <si>
    <t>TOTAL NET WORTH</t>
  </si>
  <si>
    <t>Fuel, Lubricants, etc</t>
  </si>
  <si>
    <t xml:space="preserve">Taxes, Fees &amp; Assessments                                  </t>
  </si>
  <si>
    <t>Utilities</t>
  </si>
  <si>
    <t>Insurance</t>
  </si>
  <si>
    <t>NET CASH FLOWS (all sources)</t>
  </si>
  <si>
    <t>Loan &amp; Credit Card Payments</t>
  </si>
  <si>
    <t>Bank Account</t>
  </si>
  <si>
    <t>Year</t>
  </si>
  <si>
    <t>Look Back</t>
  </si>
  <si>
    <t>Look Forward</t>
  </si>
  <si>
    <t>Labor</t>
  </si>
  <si>
    <t>Packaging</t>
  </si>
  <si>
    <t>Shipping</t>
  </si>
  <si>
    <t>Promotion &amp; Advertising</t>
  </si>
  <si>
    <t>Licenses / Permits</t>
  </si>
  <si>
    <t>Vehicle Expense</t>
  </si>
  <si>
    <t>Name</t>
  </si>
  <si>
    <t>City</t>
  </si>
  <si>
    <t>State / Province</t>
  </si>
  <si>
    <t>Address</t>
  </si>
  <si>
    <t>Zip / Postal Code</t>
  </si>
  <si>
    <t>Property Taxes</t>
  </si>
  <si>
    <t>Cold Storage Fees</t>
  </si>
  <si>
    <t>Processing Supplies</t>
  </si>
  <si>
    <t>Branded Materials, Tours, Etc</t>
  </si>
  <si>
    <t>Direct Marketing Income</t>
  </si>
  <si>
    <t>Repairs &amp; Maintenance</t>
  </si>
  <si>
    <t>Pmt Due in 12 months</t>
  </si>
  <si>
    <t>Interest on Loans</t>
  </si>
  <si>
    <t>Date</t>
  </si>
  <si>
    <t>Value</t>
  </si>
  <si>
    <t>Market Value</t>
  </si>
  <si>
    <t>Balance</t>
  </si>
  <si>
    <t>Personal Assets</t>
  </si>
  <si>
    <t>Current Ratio</t>
  </si>
  <si>
    <t>Working Capital</t>
  </si>
  <si>
    <t>Debt-to-Assets</t>
  </si>
  <si>
    <t>Debt-to-Equity</t>
  </si>
  <si>
    <t>Total Assets</t>
  </si>
  <si>
    <t>Total Liabilities</t>
  </si>
  <si>
    <t>Balance Sheet</t>
  </si>
  <si>
    <t>Date Prepared:</t>
  </si>
  <si>
    <t>Prepared On:</t>
  </si>
  <si>
    <t>Detailed Assets</t>
  </si>
  <si>
    <t>Savings</t>
  </si>
  <si>
    <t>Personal Accounts Payable</t>
  </si>
  <si>
    <t>Lender</t>
  </si>
  <si>
    <t>Description</t>
  </si>
  <si>
    <t>Interest Rate</t>
  </si>
  <si>
    <t>Annual P&amp;I Payment</t>
  </si>
  <si>
    <t>Prin Due in 12 Months</t>
  </si>
  <si>
    <t>Remaining Balance</t>
  </si>
  <si>
    <t>First Year</t>
  </si>
  <si>
    <t>Payment Frequency</t>
  </si>
  <si>
    <t>Loan Frequency</t>
  </si>
  <si>
    <t>Monthly</t>
  </si>
  <si>
    <t>Quarterly</t>
  </si>
  <si>
    <t>Number Pmts</t>
  </si>
  <si>
    <t>Semi-Annual</t>
  </si>
  <si>
    <t>Years Left</t>
  </si>
  <si>
    <t>Annual</t>
  </si>
  <si>
    <t>Months</t>
  </si>
  <si>
    <t>#Pmts</t>
  </si>
  <si>
    <t>Total Prin Due in 12 months</t>
  </si>
  <si>
    <t>Personal Loans</t>
  </si>
  <si>
    <t>Detailed Loan Information</t>
  </si>
  <si>
    <t>Other Business Accounts Receivables</t>
  </si>
  <si>
    <t>Other Personal Assets</t>
  </si>
  <si>
    <t>Principal Balance</t>
  </si>
  <si>
    <t>Month Due</t>
  </si>
  <si>
    <t>Current Principal Bal</t>
  </si>
  <si>
    <t>Month Borrowed</t>
  </si>
  <si>
    <t>Direct to processor</t>
  </si>
  <si>
    <t>Direct to consumer</t>
  </si>
  <si>
    <t>Marketing</t>
  </si>
  <si>
    <t>Total Direct Marketing Income</t>
  </si>
  <si>
    <t>NET INCOME FROM DIRECT MARKETING</t>
  </si>
  <si>
    <t>NET CASH FLOW FROM DIRECT MARKETING</t>
  </si>
  <si>
    <t>NET CASH FLOW FROM PERSONAL</t>
  </si>
  <si>
    <t>CUMULATIVE CASH BALANCE FROM PERSONAL</t>
  </si>
  <si>
    <t>CUMULATIVE CASH BALANCE FROM DIRECT MARKETING</t>
  </si>
  <si>
    <t>Column1</t>
  </si>
  <si>
    <t>Year Examined</t>
  </si>
  <si>
    <t>Year:</t>
  </si>
  <si>
    <t>CUMULATIVE CASH BALANCE FROM ALL SOURCES</t>
  </si>
  <si>
    <t>NET CASH FLOW FROM ALL SOURCES</t>
  </si>
  <si>
    <t>Sale of Investments</t>
  </si>
  <si>
    <t>Interest &amp; Investment Dividend Income</t>
  </si>
  <si>
    <t>New Credit</t>
  </si>
  <si>
    <t>+ Direct Marketing New Credit</t>
  </si>
  <si>
    <t>PERSONAL INFLOWS &amp; OUTFLOWS</t>
  </si>
  <si>
    <t>Personal Inflows</t>
  </si>
  <si>
    <t>Personal &amp; Living Outflows</t>
  </si>
  <si>
    <t>Education</t>
  </si>
  <si>
    <t>Personal Property Insurance</t>
  </si>
  <si>
    <t>Cash Donations / Gifts</t>
  </si>
  <si>
    <t>Life Insurance</t>
  </si>
  <si>
    <t>Total Personal Inflows</t>
  </si>
  <si>
    <t>Total Personal &amp; Living Outflows</t>
  </si>
  <si>
    <t>Food and Meals</t>
  </si>
  <si>
    <t xml:space="preserve">Medical </t>
  </si>
  <si>
    <t>Health Insurance</t>
  </si>
  <si>
    <t>Household Supplies</t>
  </si>
  <si>
    <t>Clothing</t>
  </si>
  <si>
    <t>Personal Care</t>
  </si>
  <si>
    <t>Child / Dependent Care</t>
  </si>
  <si>
    <t>Recreation</t>
  </si>
  <si>
    <t>Personal Vehicle Operating</t>
  </si>
  <si>
    <t>Taxes - Real Estate</t>
  </si>
  <si>
    <t>Taxes - Income</t>
  </si>
  <si>
    <t>Disability / Long Term Care Insurance</t>
  </si>
  <si>
    <t>Capital Purchases (-)</t>
  </si>
  <si>
    <t>Just Business Income and Expenses</t>
  </si>
  <si>
    <t>Column2</t>
  </si>
  <si>
    <t>Both Business and Personal</t>
  </si>
  <si>
    <t>Do you want to project both business and personal 
income and expenses?</t>
  </si>
  <si>
    <t>Liabilities Detail</t>
  </si>
  <si>
    <t>Current Assets</t>
  </si>
  <si>
    <t>Current Liabilities</t>
  </si>
  <si>
    <t>Total Current Assets</t>
  </si>
  <si>
    <t>Total Current Liabilities</t>
  </si>
  <si>
    <t>Total Non-Current Liabilities</t>
  </si>
  <si>
    <r>
      <t xml:space="preserve">Cash </t>
    </r>
    <r>
      <rPr>
        <b/>
        <i/>
        <sz val="8"/>
        <color theme="0"/>
        <rFont val="Arial"/>
        <family val="2"/>
        <charset val="204"/>
      </rPr>
      <t>(cash, business checking &amp; savings accounts)</t>
    </r>
  </si>
  <si>
    <t>Income Statement &amp; Cash Flows</t>
  </si>
  <si>
    <t>Income Statement &amp; Cash Flow Summary</t>
  </si>
  <si>
    <r>
      <t xml:space="preserve">Loans Receivable </t>
    </r>
    <r>
      <rPr>
        <b/>
        <i/>
        <sz val="8"/>
        <color theme="0"/>
        <rFont val="Arial"/>
        <family val="2"/>
        <charset val="204"/>
      </rPr>
      <t>(personal loans)</t>
    </r>
  </si>
  <si>
    <r>
      <t xml:space="preserve">Accounts Payable </t>
    </r>
    <r>
      <rPr>
        <b/>
        <i/>
        <sz val="8"/>
        <color theme="0"/>
        <rFont val="Arial"/>
        <family val="2"/>
        <charset val="204"/>
      </rPr>
      <t>(processor,suppliers, etc.)</t>
    </r>
  </si>
  <si>
    <t>Direct Marketing Net Income</t>
  </si>
  <si>
    <t>Direct Mkt Income</t>
  </si>
  <si>
    <t>Beg. Cash</t>
  </si>
  <si>
    <t>Other Personal Loan Payments</t>
  </si>
  <si>
    <t>Loan Purpose</t>
  </si>
  <si>
    <t>Direct Mkt</t>
  </si>
  <si>
    <t>Personal</t>
  </si>
  <si>
    <t>Prin</t>
  </si>
  <si>
    <t>Int</t>
  </si>
  <si>
    <t>Operating</t>
  </si>
  <si>
    <t>1st Month Due</t>
  </si>
  <si>
    <t>Prin Pmt</t>
  </si>
  <si>
    <t>Int Pmt</t>
  </si>
  <si>
    <t>Mon Paid</t>
  </si>
  <si>
    <t>January</t>
  </si>
  <si>
    <t>Febuary</t>
  </si>
  <si>
    <t>March</t>
  </si>
  <si>
    <t>April</t>
  </si>
  <si>
    <t>June</t>
  </si>
  <si>
    <t>July</t>
  </si>
  <si>
    <t>August</t>
  </si>
  <si>
    <t>September</t>
  </si>
  <si>
    <t>October</t>
  </si>
  <si>
    <t>November</t>
  </si>
  <si>
    <t>December</t>
  </si>
  <si>
    <t>CumulPrin</t>
  </si>
  <si>
    <t>CumulInt</t>
  </si>
  <si>
    <t>Pmts made</t>
  </si>
  <si>
    <t>Month</t>
  </si>
  <si>
    <t>Payment</t>
  </si>
  <si>
    <t>Total Op Int</t>
  </si>
  <si>
    <t>Rent</t>
  </si>
  <si>
    <t>Mortgage/Personal Real Estate Loans</t>
  </si>
  <si>
    <t>%Pmts</t>
  </si>
  <si>
    <t>Proposed Loans</t>
  </si>
  <si>
    <t>Proposed Prin Bal</t>
  </si>
  <si>
    <t>Proposed Loan Information</t>
  </si>
  <si>
    <t>AgPlan Financial spreadsheets were made possible by funding from the North Central Risk Management Education Center &amp; from technical help from the Center for Farm Financial Management at the University of Minnesota. This material is based upon work supported by USDA/NIFA under Award Number 2015-49200-24226.</t>
  </si>
  <si>
    <t>Accrued Interest</t>
  </si>
  <si>
    <t>Operating Loans</t>
  </si>
  <si>
    <t>Pmt First Year</t>
  </si>
  <si>
    <t>Borrowed</t>
  </si>
  <si>
    <t>ProposedLoanPurpose</t>
  </si>
  <si>
    <t>Operating-Direct Mkt</t>
  </si>
  <si>
    <t>New Mortgage/Personal Real Estate Loan</t>
  </si>
  <si>
    <t>New Other Personal Loan</t>
  </si>
  <si>
    <t>+Direct Marketing New Operating Loan</t>
  </si>
  <si>
    <t>New Operating Loan</t>
  </si>
  <si>
    <t>Total Direct Marketing Income/Inflows</t>
  </si>
  <si>
    <t>Direct Marketing Income/Inflows</t>
  </si>
  <si>
    <t>Direct Marketing Financing Activities</t>
  </si>
  <si>
    <t>DIRECT MARKETING INCOME STATEMENT ADJUSTMENTS</t>
  </si>
  <si>
    <t>Beginning Cash Balance</t>
  </si>
  <si>
    <t>NET CASH FLOW</t>
  </si>
  <si>
    <t>CUMULATIVE CASH BALANCE</t>
  </si>
  <si>
    <t>Net Cash Flow from Direct Marketing</t>
  </si>
  <si>
    <t>Net Cash Flow from Personal</t>
  </si>
  <si>
    <t>If all payments</t>
  </si>
  <si>
    <t>if last year</t>
  </si>
  <si>
    <t>Last Year</t>
  </si>
  <si>
    <t>OrigPmts</t>
  </si>
  <si>
    <t>IsLast</t>
  </si>
  <si>
    <t>Last Month Paid</t>
  </si>
  <si>
    <t>Rem Pmts</t>
  </si>
  <si>
    <t>1stpay</t>
  </si>
  <si>
    <t>Personal-RE</t>
  </si>
  <si>
    <t>Ag Income/Inflows</t>
  </si>
  <si>
    <t>Total Ag Income/Inflows</t>
  </si>
  <si>
    <t>Ag Financing Activities</t>
  </si>
  <si>
    <t>Net Cash Flow from Ag</t>
  </si>
  <si>
    <t>NET CASH FLOW FROM AG</t>
  </si>
  <si>
    <t>CUMULATIVE CASH BALANCE FROM AG</t>
  </si>
  <si>
    <t xml:space="preserve"> AG INCOME STATEMENT ADJUSTMENTS</t>
  </si>
  <si>
    <t>NET INCOME FROM AG</t>
  </si>
  <si>
    <t>Other Current Assets</t>
  </si>
  <si>
    <t>Equipment</t>
  </si>
  <si>
    <t>Other Personal (Non-Business Assets)</t>
  </si>
  <si>
    <t>Buildings &amp; Improvements</t>
  </si>
  <si>
    <t>Breeding Livestock</t>
  </si>
  <si>
    <t>Land</t>
  </si>
  <si>
    <t>Ag &amp; Bus. Assets</t>
  </si>
  <si>
    <t>Ag &amp; Bus. Liabilities</t>
  </si>
  <si>
    <t>Total Ag &amp; Bus. Assets</t>
  </si>
  <si>
    <t>Total Ag &amp; Bus. Liabilities</t>
  </si>
  <si>
    <t>- Total Ag &amp; Bus. Liabilities</t>
  </si>
  <si>
    <t>Business Net Worth</t>
  </si>
  <si>
    <t>Business Ratio Analysis</t>
  </si>
  <si>
    <t>Other Current Liabilities</t>
  </si>
  <si>
    <t>Other Non-Current Liabilities</t>
  </si>
  <si>
    <t>Equipment Loans</t>
  </si>
  <si>
    <t>Livestock Loans</t>
  </si>
  <si>
    <t>Business Building Loans</t>
  </si>
  <si>
    <t>Business Buildings Loans</t>
  </si>
  <si>
    <t>Oth Business Real Estate</t>
  </si>
  <si>
    <t>Inventory Worksheet</t>
  </si>
  <si>
    <t>Crop Inventory</t>
  </si>
  <si>
    <t>Quantity</t>
  </si>
  <si>
    <t>Livestock Held for Sale</t>
  </si>
  <si>
    <t>Weight</t>
  </si>
  <si>
    <t>Value/CWT</t>
  </si>
  <si>
    <t>How do you sell your product?</t>
  </si>
  <si>
    <t>February</t>
  </si>
  <si>
    <t>Other Non-Current Business Assets</t>
  </si>
  <si>
    <t>Other Business Loans</t>
  </si>
  <si>
    <t>Farmers Market Sales</t>
  </si>
  <si>
    <t>CSA Sales</t>
  </si>
  <si>
    <t>Farmstand Sales</t>
  </si>
  <si>
    <t>Other Direct Marketing Sales</t>
  </si>
  <si>
    <t>Branded Materials, Tours, Etc.</t>
  </si>
  <si>
    <t>Equipment Sales</t>
  </si>
  <si>
    <t>Purchased for Resale</t>
  </si>
  <si>
    <t>Market Supplies</t>
  </si>
  <si>
    <t>Purchases of Marketing Facilities / Equipment</t>
  </si>
  <si>
    <t>Facility Rent / Mortgage</t>
  </si>
  <si>
    <t>- Depreciation - Marketing Facilities &amp; Equipment</t>
  </si>
  <si>
    <t>Balance Sheet Value Marketing Equipment Sold</t>
  </si>
  <si>
    <t>- Equipment &amp; Gear Depreciation</t>
  </si>
  <si>
    <t>- Breeding Livestock Depreciation</t>
  </si>
  <si>
    <t>- Buildings Depreciation</t>
  </si>
  <si>
    <t>Balance Sheet Value Buildings Sold</t>
  </si>
  <si>
    <t>Custom Work</t>
  </si>
  <si>
    <t>Building Sales</t>
  </si>
  <si>
    <t>Crop Sales</t>
  </si>
  <si>
    <t>Vegetable/Fruit Sales</t>
  </si>
  <si>
    <t>Livestock Product Sales (Milk, eggs, etc.)</t>
  </si>
  <si>
    <t>Government Payments</t>
  </si>
  <si>
    <t>Crop Insurance</t>
  </si>
  <si>
    <t>Co-op Distributions (Patronage)</t>
  </si>
  <si>
    <t>Land Rent</t>
  </si>
  <si>
    <t>Dues &amp; Professional Fees</t>
  </si>
  <si>
    <t>Farm Insurance</t>
  </si>
  <si>
    <t>Machinery/Building Leases</t>
  </si>
  <si>
    <t>Hired Labor</t>
  </si>
  <si>
    <t>Seeds &amp; Plants</t>
  </si>
  <si>
    <t>Custom Hire</t>
  </si>
  <si>
    <t>Livestock Supplies</t>
  </si>
  <si>
    <t>Livestock Marketing</t>
  </si>
  <si>
    <t>Livestock Consultants</t>
  </si>
  <si>
    <t>Government Program Expense</t>
  </si>
  <si>
    <t>Grazing Fees</t>
  </si>
  <si>
    <t>Livestock Insurance</t>
  </si>
  <si>
    <t>Feeder Livestock Purchase</t>
  </si>
  <si>
    <t>Purchased Feed</t>
  </si>
  <si>
    <t>Veterinary/Breeding Fees</t>
  </si>
  <si>
    <t>Crop Marketing (non-direct to consumer)</t>
  </si>
  <si>
    <t>Fertilizer</t>
  </si>
  <si>
    <t>Crop Chemicals</t>
  </si>
  <si>
    <t>Drying Expense</t>
  </si>
  <si>
    <t>Storage</t>
  </si>
  <si>
    <t>Greenhouse Supplies</t>
  </si>
  <si>
    <t>Crop/Field Supplies</t>
  </si>
  <si>
    <t>Irrigation Energy</t>
  </si>
  <si>
    <t>Crop Consultants</t>
  </si>
  <si>
    <t>Breeding Livestock Depreciation</t>
  </si>
  <si>
    <t>Building Depreciation</t>
  </si>
  <si>
    <t>Gain/Loss on Sale of Equip, Livestock or Buildings (-)</t>
  </si>
  <si>
    <t>Equip, Gear, Livestock &amp; Buildings Depr (+)</t>
  </si>
  <si>
    <t>Building Sales (+)</t>
  </si>
  <si>
    <t>Equipment &amp; Gear Sales (+)</t>
  </si>
  <si>
    <t>Drying</t>
  </si>
  <si>
    <t>Crop Marketing</t>
  </si>
  <si>
    <t>Ag Income</t>
  </si>
  <si>
    <t>Total Ag Income</t>
  </si>
  <si>
    <t>Ag Net Income</t>
  </si>
  <si>
    <t>Depreciation - Marketing Facilities &amp; Equipment</t>
  </si>
  <si>
    <t>Gain on Sale of Marketing Facilities / Equipment</t>
  </si>
  <si>
    <t>Balance Sheet Value Equip, Gear Sold</t>
  </si>
  <si>
    <t>Livestock Sales (non-cull)</t>
  </si>
  <si>
    <t>Balance Sheet Val Purchased Breeding Lvsk Sold</t>
  </si>
  <si>
    <t>Farm Financial Scorecard</t>
  </si>
  <si>
    <t>For more information visit http://Ans.Farm/FinancialScorecard</t>
  </si>
  <si>
    <t>Liquidity</t>
  </si>
  <si>
    <t>Income Taxes Payable</t>
  </si>
  <si>
    <t>Scorecard Graphs</t>
  </si>
  <si>
    <t>toGraph</t>
  </si>
  <si>
    <t>Slider position</t>
  </si>
  <si>
    <t>Spectrum</t>
  </si>
  <si>
    <t>Slider Fill</t>
  </si>
  <si>
    <t>Slider Size</t>
  </si>
  <si>
    <t>Min</t>
  </si>
  <si>
    <t>Lower</t>
  </si>
  <si>
    <t>Mid</t>
  </si>
  <si>
    <t>Higher</t>
  </si>
  <si>
    <t>Max</t>
  </si>
  <si>
    <t>Label</t>
  </si>
  <si>
    <t xml:space="preserve">Which year do you want to examine?  </t>
  </si>
  <si>
    <t>Solvency</t>
  </si>
  <si>
    <t>Debt-to-Asset</t>
  </si>
  <si>
    <t>Equity-to-Asset</t>
  </si>
  <si>
    <t>Profitability</t>
  </si>
  <si>
    <t>Return on Assets</t>
  </si>
  <si>
    <t>Return on Equity</t>
  </si>
  <si>
    <t>Operating Profit Margin</t>
  </si>
  <si>
    <t>Repayment Capacity</t>
  </si>
  <si>
    <t>Term Debt Coverage Ratio</t>
  </si>
  <si>
    <t>Efficiency</t>
  </si>
  <si>
    <t>Asset-Turnover Ratio</t>
  </si>
  <si>
    <t>Operating Expense Ratio</t>
  </si>
  <si>
    <t>Depreciation Expense Ratio</t>
  </si>
  <si>
    <t>Interest Expense Ratio</t>
  </si>
  <si>
    <t>Net Income Ratio</t>
  </si>
  <si>
    <t>Working Capital (WC)</t>
  </si>
  <si>
    <t>WC to Gross Revenue</t>
  </si>
  <si>
    <t>To processor, elevator or other producer</t>
  </si>
  <si>
    <t>Both / Either</t>
  </si>
  <si>
    <t>+ Gain/Loss on Sale of Equip</t>
  </si>
  <si>
    <t>+ Gain/Loss on Sale of Purch Brd Lvsk</t>
  </si>
  <si>
    <t>+ Gain/Loss on Sale of Buildings</t>
  </si>
  <si>
    <t>Equipment Capital Purchases</t>
  </si>
  <si>
    <t>Breeding Livestock Purchases</t>
  </si>
  <si>
    <t>Buildings Purchases</t>
  </si>
  <si>
    <t>Yes</t>
  </si>
  <si>
    <t>Gain on Sale of Equipment, Breeding Livestock &amp; Buildings</t>
  </si>
  <si>
    <t>Other Operating</t>
  </si>
  <si>
    <t>Balance Sheet Trends</t>
  </si>
  <si>
    <t>Intermediate Assets</t>
  </si>
  <si>
    <t>Intermediate Liabilities</t>
  </si>
  <si>
    <t>Total Intermediate Assets</t>
  </si>
  <si>
    <t>Total Intermediate Liabilities</t>
  </si>
  <si>
    <t>Long Term Assets</t>
  </si>
  <si>
    <t>Long Term Liabilities</t>
  </si>
  <si>
    <t>Total Long Term Assets</t>
  </si>
  <si>
    <t>Total Long Term Liabilities</t>
  </si>
  <si>
    <t>TOTAL AG &amp; BUS. ASSETS</t>
  </si>
  <si>
    <t>AG &amp; BUS. ASSETS</t>
  </si>
  <si>
    <t>AG &amp; BUS. LIABILITIES</t>
  </si>
  <si>
    <t>TOTAL AG &amp; BUS. LIABILITIES</t>
  </si>
  <si>
    <t>PERSONAL ASSETS</t>
  </si>
  <si>
    <t>TOTAL PERSONAL ASSETS</t>
  </si>
  <si>
    <t>PERSONAL LIABILITIES</t>
  </si>
  <si>
    <t>TOTAL PERSONAL LIABILITIES</t>
  </si>
  <si>
    <t>PERSONAL NET WORTH</t>
  </si>
  <si>
    <t>Change in Crop Inventories*</t>
  </si>
  <si>
    <t>-Change in Inventories, Prepaids, Etc*</t>
  </si>
  <si>
    <t>- Inventory Change</t>
  </si>
  <si>
    <t>Inventory Changes (-)</t>
  </si>
  <si>
    <t>Number of Operators</t>
  </si>
  <si>
    <t>Projected Inventory Worksheet</t>
  </si>
  <si>
    <t>BUSINESS NET WORTH</t>
  </si>
  <si>
    <t>Depreciation</t>
  </si>
  <si>
    <t>- Change in Inventories</t>
  </si>
  <si>
    <t>Proceeds on Marketing of Marketing Facilities / Equipment (+)</t>
  </si>
  <si>
    <t>Gain on Sale of Marketing Facilities / Equipment (-)</t>
  </si>
  <si>
    <t>Depreciation - Marketing Facilities &amp; Equipment (+)</t>
  </si>
  <si>
    <t>Principal Payments on Marketing Facilities &amp; Equipment (-)</t>
  </si>
  <si>
    <t>Direct Marketing New Credit (+)</t>
  </si>
  <si>
    <t>Direct Marketing New Operating Loan (+)</t>
  </si>
  <si>
    <t>Purchases of Marketing Facilities / Equipment (-)</t>
  </si>
  <si>
    <t>Inventory Changes (+)</t>
  </si>
  <si>
    <t>Ag Business</t>
  </si>
  <si>
    <t>Operating-Ag</t>
  </si>
  <si>
    <t>Curr</t>
  </si>
  <si>
    <t>Rem</t>
  </si>
  <si>
    <t>Term Loans Principal Payments</t>
  </si>
  <si>
    <t>Operating Loan Principal Payments</t>
  </si>
  <si>
    <t>Principal Payments on Ag Operating &amp; Bus Loans (-)</t>
  </si>
  <si>
    <t>New Credit (Ag Bus) (+)</t>
  </si>
  <si>
    <t>New Ag Operating Loan(+)</t>
  </si>
  <si>
    <t>Direct Mkting Operating Loan Principal Payments</t>
  </si>
  <si>
    <t>Direct Mkting Term Loan Principal Payments</t>
  </si>
  <si>
    <t>Sched P&amp;I On Term</t>
  </si>
  <si>
    <t>Sch Pay</t>
  </si>
  <si>
    <t>CumunInt2</t>
  </si>
  <si>
    <t>CumulInt1</t>
  </si>
  <si>
    <t>CumulInt2</t>
  </si>
  <si>
    <t>Left</t>
  </si>
  <si>
    <t>Mon Left</t>
  </si>
  <si>
    <t>MonthsLeft</t>
  </si>
  <si>
    <t>Last Mon Paid</t>
  </si>
  <si>
    <t>AccrInt</t>
  </si>
  <si>
    <t>Personal Accrued Interest</t>
  </si>
  <si>
    <t>From Loan Entry</t>
  </si>
  <si>
    <t>Variable Ag Expenses/Outflows</t>
  </si>
  <si>
    <t>Other Operating Expenses</t>
  </si>
  <si>
    <t>Fixed Ag Expenses/Outflows</t>
  </si>
  <si>
    <t xml:space="preserve">Permit Expenses                                                   </t>
  </si>
  <si>
    <t>Other Fixed Expenses</t>
  </si>
  <si>
    <t>Do you want to examine direct marketing income &amp; Expenses?</t>
  </si>
  <si>
    <t>Include Direct Marketing Income &amp; Expenses</t>
  </si>
  <si>
    <t>Direct Marketing Variable Expenses/Outflows</t>
  </si>
  <si>
    <t>Other Direct Mkt Variable Expenses</t>
  </si>
  <si>
    <t>Direct Marketing Fixed Expenses/Outflows</t>
  </si>
  <si>
    <t>Misc Direct Mkt Fixed Expenses</t>
  </si>
  <si>
    <t>Other Direct Mkt Fixed Expenses</t>
  </si>
  <si>
    <t>Do Not Include Direct Marketing Income &amp; Expenses</t>
  </si>
  <si>
    <t>Variable Ag Expenses</t>
  </si>
  <si>
    <t>Fixed Ag Expenses</t>
  </si>
  <si>
    <t>Variable Direct Mkt Expenses</t>
  </si>
  <si>
    <t>Fixed Direct Mkt Expenses</t>
  </si>
  <si>
    <t>Direct Marketing Variable Expenses</t>
  </si>
  <si>
    <t>Direct Marketing Fixed Expenses</t>
  </si>
  <si>
    <t>DIRECT MARKETING INCOME &amp; EXPENSES</t>
  </si>
  <si>
    <t>AG INCOME &amp; EXPENSES</t>
  </si>
  <si>
    <t>TOTAL AG EXPENSES/OUTFLOWS</t>
  </si>
  <si>
    <t>TOTAL DIRECT MARKETING EXPENSES</t>
  </si>
  <si>
    <t>TOTAL AG EXPENSES</t>
  </si>
  <si>
    <t>Cull Livestock Sales</t>
  </si>
  <si>
    <t>Cull Livestock Sales (+)</t>
  </si>
  <si>
    <t>Retirement</t>
  </si>
  <si>
    <t>Personal Vehicle Purchases</t>
  </si>
  <si>
    <t>Personal Capital Purchases (Home furnishings, etc.)</t>
  </si>
  <si>
    <t>No</t>
  </si>
  <si>
    <t>Property Taxes Payable</t>
  </si>
  <si>
    <t>Business Taxes Payable</t>
  </si>
  <si>
    <t>Total Value</t>
  </si>
  <si>
    <t>Ratio</t>
  </si>
  <si>
    <t>Graph</t>
  </si>
  <si>
    <t>pointer</t>
  </si>
  <si>
    <t>end</t>
  </si>
  <si>
    <t>Chart Title</t>
  </si>
  <si>
    <t>Explain</t>
  </si>
  <si>
    <t>Bigslice</t>
  </si>
  <si>
    <t>slice2</t>
  </si>
  <si>
    <t>slice3</t>
  </si>
  <si>
    <t>slice4</t>
  </si>
  <si>
    <t>Pointer</t>
  </si>
  <si>
    <t>The Current Ratio measures the extent to which current farm assets, if sold tomorrow, would pay off current farm liabilities.</t>
  </si>
  <si>
    <t>Working Capital to Gross Revenue (WC/GR) measures the operating capital available against the size of the business.</t>
  </si>
  <si>
    <t>Debt-to-Equity compares the bank's ownership to your ownership. It also indicates how much the owners have leveraged their equity in the business.</t>
  </si>
  <si>
    <t>Debt-to-Assets shows the bank's (or other lender's) share of the business. It compares total farm debt to total farm assets.</t>
  </si>
  <si>
    <t>Equity-to-Assets tells you what your share of the business is. It compares farm equity (net worth) to total farm assets.</t>
  </si>
  <si>
    <t>Rate of Return on Farm Equity (ROE)represents the interest rate being earned by YOUR investment in the farm. You can compare this ratio to what you would receive if your equity was invested elsewhere, such as a certificate of deposit.</t>
  </si>
  <si>
    <t>Rate of Return on Farm Assets (ROA) is the amount of return your assets are earning. In other words, think of it as the average interest rate earned on all (yours and the banks') investments in the farm.</t>
  </si>
  <si>
    <t>The Term Debt Coverage ratio tells where your business produced enough income to cover all intermediate and long-term debt payments. If this ratio is 1.0 or less, then there isn't enough cashflow to cover scheduled debt payments.</t>
  </si>
  <si>
    <t>The Asset-Turnover ratio measures efficiency in using capital. How well are your assets generating revenue? If this ratio is low you might want to sell low-return investments or invest in assets that are higher revenue generating assets.</t>
  </si>
  <si>
    <t xml:space="preserve">The Operating Profit Margin shows the operating efficiency of the business. If expenses are low relative to the value of farm production, the business will have a healthy operating profit margin. </t>
  </si>
  <si>
    <t>The Operating Expense ratio shows the percentage of farm income that is used to pay operating expenses. If this value is 80% then it is saying that $0.80 of every $1 goes to running the business.</t>
  </si>
  <si>
    <t>The Interest Expense shows how what percentage of gross farm income is used to pay interest costs for borrowed money.</t>
  </si>
  <si>
    <t>The Depreciation Expense ratio indicates how quickly your business wears out capital (equipment, etc.). It tells what proportion of farm income is needed to maintain the capital used by the business.</t>
  </si>
  <si>
    <t>The Net Income ratio tells you what percentage of gross farm income you get to keep after all expenses (excluding unpaid labor and management) are paid.</t>
  </si>
  <si>
    <t>Reverse</t>
  </si>
  <si>
    <t>no</t>
  </si>
  <si>
    <t>Expense</t>
  </si>
  <si>
    <t>Current Year</t>
  </si>
  <si>
    <t>Projected</t>
  </si>
  <si>
    <t>Total Ag Variable Expenses</t>
  </si>
  <si>
    <t>Total Ag Fixed Expenses</t>
  </si>
  <si>
    <t>Net Income from Ag</t>
  </si>
  <si>
    <t>Total Ag Variable Expenses (-)</t>
  </si>
  <si>
    <t>Total Ag Fixed Expenses (-)</t>
  </si>
  <si>
    <t>Ag Cash Flow Adjustments</t>
  </si>
  <si>
    <t>Consultants</t>
  </si>
  <si>
    <t>Crop Insurance Proceeds</t>
  </si>
  <si>
    <t>Total Direct Marketing Variable Expenses</t>
  </si>
  <si>
    <t>Total Direct Marketing Fixed Expenses</t>
  </si>
  <si>
    <t>Column3</t>
  </si>
  <si>
    <t>Just ag</t>
  </si>
  <si>
    <t>Variable</t>
  </si>
  <si>
    <t>Rank</t>
  </si>
  <si>
    <t>Remainder</t>
  </si>
  <si>
    <t>Other Inventory on Hand (Direct Marketing)</t>
  </si>
  <si>
    <t>Slider</t>
  </si>
  <si>
    <t>End</t>
  </si>
  <si>
    <t>endval</t>
  </si>
  <si>
    <t>holder</t>
  </si>
  <si>
    <t>yes</t>
  </si>
  <si>
    <t>graph</t>
  </si>
  <si>
    <t>Midpoint</t>
  </si>
  <si>
    <t>=IF(IF(ScorecardGraphsChoice=Year1,'Financial Scorecard'!D35,'Financial Scorecard'!E35)&lt;[@Midpoint],IF(ScorecardGraphsChoice=Year1,'Financial Scorecard'!D35,'Financial Scorecard'!E35)/1,IF('ScorecardGraphsChoice=Year1,'Financial Scorecard'!D35,'Financial Scorecard'!E35)/1)</t>
  </si>
  <si>
    <t>Total Net Income</t>
  </si>
  <si>
    <t>DashboardChoiceIncExpGraph="Just Ag"</t>
  </si>
  <si>
    <t>Ag net income</t>
  </si>
  <si>
    <t>Direct marketing net income</t>
  </si>
  <si>
    <t>+ Gain/Loss on Sale of Mkting Facilities / Equipment</t>
  </si>
  <si>
    <t>Total Direct Mkting Variable Expenses/Outflows</t>
  </si>
  <si>
    <t>Total Direct Marketing Fixed Expenses/Outflows</t>
  </si>
  <si>
    <t>TOT DIRECT MKTING EXPENSES/OUTFLOWS</t>
  </si>
  <si>
    <t>Total Ag Variable Expenses/Outflows</t>
  </si>
  <si>
    <t>Total Ag Fixed Expenses/Outflows</t>
  </si>
  <si>
    <t>Personal Capital Purch (Home furnishings, etc.)</t>
  </si>
  <si>
    <t>Do you want to project both business and personal income and expenses?</t>
  </si>
  <si>
    <t>Crop Sales (to processor, elevator, etc.)</t>
  </si>
  <si>
    <t>Vegetable/Fruit Sales (to processor)</t>
  </si>
  <si>
    <t>Livestock Product Sales to Coop, etc. (Milk, eggs, etc.)</t>
  </si>
  <si>
    <t>Go to the Historical Information help video</t>
  </si>
  <si>
    <t>Farm / Company Name</t>
  </si>
  <si>
    <r>
      <t>Non-Current Assets</t>
    </r>
    <r>
      <rPr>
        <b/>
        <i/>
        <sz val="9"/>
        <rFont val="Arial"/>
        <family val="2"/>
        <charset val="204"/>
      </rPr>
      <t xml:space="preserve"> (Note: Use Appraised Values.)</t>
    </r>
  </si>
  <si>
    <t>Value/Unit</t>
  </si>
  <si>
    <t>Value/unit</t>
  </si>
  <si>
    <t>Veterinary</t>
  </si>
  <si>
    <t>Which year to examine?</t>
  </si>
  <si>
    <t>Value of Unpaid Labor &amp; Management (non-cash)</t>
  </si>
  <si>
    <t>Balance Sheet Date</t>
  </si>
  <si>
    <t>Balance Sheet Date:</t>
  </si>
  <si>
    <t>Balances as of:</t>
  </si>
  <si>
    <r>
      <t xml:space="preserve">Copyright </t>
    </r>
    <r>
      <rPr>
        <sz val="9"/>
        <rFont val="Calibri"/>
        <family val="2"/>
      </rPr>
      <t>©</t>
    </r>
    <r>
      <rPr>
        <sz val="9"/>
        <rFont val="Arial"/>
        <family val="2"/>
      </rPr>
      <t>2017 Regents of the University of Minnesota.  All rights reserved.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</si>
</sst>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409]mmmm\ d\,\ yyyy;@"/>
    <numFmt numFmtId="166" formatCode="_(&quot;$&quot;* #,##0_);_(&quot;$&quot;* \(#,##0\);_(&quot;$&quot;* &quot;-&quot;??_);_(@_)"/>
    <numFmt numFmtId="167" formatCode="&quot;$&quot;#,##0"/>
    <numFmt numFmtId="168" formatCode="_(&quot;$&quot;\ #,##0_);_(&quot;$&quot;* \(#,##0\);_(&quot;$&quot;* &quot;-&quot;??_);_(@_)"/>
    <numFmt numFmtId="169" formatCode="0.0%"/>
    <numFmt numFmtId="170" formatCode="_(* #,##0_);_(* \(#,##0\);_(* &quot;-&quot;??_);_(@_)"/>
    <numFmt numFmtId="171" formatCode="_(* #,##0.000_);_(* \(#,##0.000\);_(* &quot;-&quot;??_);_(@_)"/>
    <numFmt numFmtId="172" formatCode="0.000%"/>
  </numFmts>
  <fonts count="67" x14ac:knownFonts="1">
    <font>
      <sz val="10"/>
      <name val="Arial"/>
      <charset val="204"/>
    </font>
    <font>
      <sz val="10"/>
      <name val="Arial"/>
      <family val="2"/>
    </font>
    <font>
      <u/>
      <sz val="10"/>
      <color indexed="12"/>
      <name val="Arial"/>
      <family val="2"/>
    </font>
    <font>
      <b/>
      <i/>
      <sz val="12"/>
      <name val="Arial"/>
      <family val="2"/>
      <charset val="204"/>
    </font>
    <font>
      <sz val="10"/>
      <name val="Arial"/>
      <family val="2"/>
    </font>
    <font>
      <b/>
      <sz val="10"/>
      <name val="Arial"/>
      <family val="2"/>
    </font>
    <font>
      <b/>
      <i/>
      <sz val="14"/>
      <name val="Arial"/>
      <family val="2"/>
      <charset val="204"/>
    </font>
    <font>
      <b/>
      <i/>
      <sz val="10"/>
      <name val="Arial"/>
      <family val="2"/>
      <charset val="204"/>
    </font>
    <font>
      <u/>
      <sz val="10"/>
      <name val="Arial"/>
      <family val="2"/>
      <charset val="204"/>
    </font>
    <font>
      <b/>
      <sz val="12"/>
      <name val="Arial"/>
      <family val="2"/>
      <charset val="204"/>
    </font>
    <font>
      <b/>
      <i/>
      <sz val="8"/>
      <name val="Arial"/>
      <family val="2"/>
      <charset val="204"/>
    </font>
    <font>
      <sz val="8"/>
      <name val="Arial"/>
      <family val="2"/>
    </font>
    <font>
      <sz val="9"/>
      <name val="Arial"/>
      <family val="2"/>
      <charset val="204"/>
    </font>
    <font>
      <b/>
      <sz val="9"/>
      <name val="Arial"/>
      <family val="2"/>
      <charset val="204"/>
    </font>
    <font>
      <b/>
      <i/>
      <sz val="9"/>
      <name val="Arial"/>
      <family val="2"/>
      <charset val="204"/>
    </font>
    <font>
      <i/>
      <sz val="9"/>
      <name val="Arial"/>
      <family val="2"/>
      <charset val="204"/>
    </font>
    <font>
      <sz val="10"/>
      <name val="Arial"/>
      <family val="2"/>
    </font>
    <font>
      <b/>
      <i/>
      <sz val="12"/>
      <name val="Arial"/>
      <family val="2"/>
    </font>
    <font>
      <sz val="9"/>
      <name val="Arial"/>
      <family val="2"/>
    </font>
    <font>
      <b/>
      <sz val="12"/>
      <name val="Arial"/>
      <family val="2"/>
    </font>
    <font>
      <sz val="10"/>
      <name val="Arial"/>
      <family val="2"/>
    </font>
    <font>
      <b/>
      <sz val="11"/>
      <name val="Arial"/>
      <family val="2"/>
    </font>
    <font>
      <sz val="10"/>
      <name val="Arial"/>
      <family val="2"/>
      <charset val="204"/>
    </font>
    <font>
      <sz val="11"/>
      <name val="Arial"/>
      <family val="2"/>
    </font>
    <font>
      <b/>
      <sz val="10"/>
      <name val="Arial"/>
      <family val="2"/>
      <charset val="204"/>
    </font>
    <font>
      <u val="singleAccounting"/>
      <sz val="10"/>
      <name val="Arial"/>
      <family val="2"/>
    </font>
    <font>
      <b/>
      <sz val="9"/>
      <name val="Arial"/>
      <family val="2"/>
    </font>
    <font>
      <u/>
      <sz val="10"/>
      <name val="Arial"/>
      <family val="2"/>
    </font>
    <font>
      <b/>
      <sz val="9"/>
      <color theme="0"/>
      <name val="Arial"/>
      <family val="2"/>
      <charset val="204"/>
    </font>
    <font>
      <i/>
      <sz val="9"/>
      <color theme="1"/>
      <name val="Arial"/>
      <family val="2"/>
      <charset val="204"/>
    </font>
    <font>
      <sz val="10"/>
      <name val="Calibri"/>
      <family val="1"/>
      <scheme val="minor"/>
    </font>
    <font>
      <sz val="10"/>
      <name val="Arial"/>
      <family val="2"/>
    </font>
    <font>
      <sz val="11"/>
      <color theme="1"/>
      <name val="Agency FB"/>
      <family val="2"/>
    </font>
    <font>
      <sz val="11"/>
      <color rgb="FF3F3F76"/>
      <name val="Agency FB"/>
      <family val="2"/>
    </font>
    <font>
      <b/>
      <sz val="11"/>
      <color rgb="FFFA7D00"/>
      <name val="Agency FB"/>
      <family val="2"/>
    </font>
    <font>
      <sz val="10"/>
      <color theme="0" tint="-0.249977111117893"/>
      <name val="Arial"/>
      <family val="2"/>
    </font>
    <font>
      <b/>
      <i/>
      <sz val="11"/>
      <name val="Arial"/>
      <family val="2"/>
    </font>
    <font>
      <b/>
      <i/>
      <sz val="10"/>
      <name val="Arial"/>
      <family val="2"/>
    </font>
    <font>
      <b/>
      <sz val="10"/>
      <color theme="0" tint="-0.249977111117893"/>
      <name val="Arial"/>
      <family val="2"/>
    </font>
    <font>
      <sz val="9"/>
      <color rgb="FF000000"/>
      <name val="Verdana"/>
      <family val="2"/>
    </font>
    <font>
      <b/>
      <u/>
      <sz val="10"/>
      <color theme="4"/>
      <name val="Arial"/>
      <family val="2"/>
    </font>
    <font>
      <b/>
      <sz val="12"/>
      <color theme="0"/>
      <name val="Arial"/>
      <family val="2"/>
      <charset val="204"/>
    </font>
    <font>
      <sz val="10"/>
      <color theme="0"/>
      <name val="Arial"/>
      <family val="2"/>
    </font>
    <font>
      <b/>
      <i/>
      <sz val="9"/>
      <name val="Arial"/>
      <family val="2"/>
    </font>
    <font>
      <b/>
      <sz val="9"/>
      <color theme="1"/>
      <name val="Arial"/>
      <family val="2"/>
    </font>
    <font>
      <sz val="9"/>
      <name val="Calibri"/>
      <family val="2"/>
    </font>
    <font>
      <sz val="10"/>
      <color theme="1"/>
      <name val="Arial"/>
      <family val="2"/>
    </font>
    <font>
      <sz val="9"/>
      <color theme="1"/>
      <name val="Arial"/>
      <family val="2"/>
    </font>
    <font>
      <b/>
      <sz val="9"/>
      <color theme="0"/>
      <name val="Arial"/>
      <family val="2"/>
    </font>
    <font>
      <b/>
      <sz val="10"/>
      <color theme="0"/>
      <name val="Arial"/>
      <family val="2"/>
    </font>
    <font>
      <sz val="9"/>
      <color theme="1"/>
      <name val="Arial"/>
      <family val="2"/>
      <charset val="204"/>
    </font>
    <font>
      <b/>
      <i/>
      <sz val="8"/>
      <color theme="0"/>
      <name val="Arial"/>
      <family val="2"/>
      <charset val="204"/>
    </font>
    <font>
      <sz val="14"/>
      <name val="Arial"/>
      <family val="2"/>
    </font>
    <font>
      <sz val="18"/>
      <name val="Arial"/>
      <family val="2"/>
    </font>
    <font>
      <b/>
      <u/>
      <sz val="10"/>
      <name val="Arial"/>
      <family val="2"/>
    </font>
    <font>
      <b/>
      <i/>
      <sz val="10"/>
      <color theme="0"/>
      <name val="Arial"/>
      <family val="2"/>
      <charset val="204"/>
    </font>
    <font>
      <b/>
      <sz val="10"/>
      <color rgb="FFFF0000"/>
      <name val="Arial"/>
      <family val="2"/>
    </font>
    <font>
      <sz val="10"/>
      <color rgb="FFFF0000"/>
      <name val="Arial"/>
      <family val="2"/>
    </font>
    <font>
      <b/>
      <i/>
      <sz val="12"/>
      <color theme="0"/>
      <name val="Arial"/>
      <family val="2"/>
      <charset val="204"/>
    </font>
    <font>
      <sz val="9"/>
      <color theme="0"/>
      <name val="Arial"/>
      <family val="2"/>
      <charset val="204"/>
    </font>
    <font>
      <sz val="10"/>
      <color rgb="FFC00000"/>
      <name val="Arial"/>
      <family val="2"/>
    </font>
    <font>
      <b/>
      <sz val="10"/>
      <color rgb="FFC00000"/>
      <name val="Arial"/>
      <family val="2"/>
    </font>
    <font>
      <sz val="18"/>
      <color theme="0"/>
      <name val="Arial"/>
      <family val="2"/>
    </font>
    <font>
      <b/>
      <sz val="10"/>
      <color theme="0"/>
      <name val="Arial"/>
      <family val="2"/>
    </font>
    <font>
      <sz val="10"/>
      <color theme="1"/>
      <name val="Arial"/>
      <family val="2"/>
    </font>
    <font>
      <sz val="10"/>
      <color theme="1"/>
      <name val="Arial"/>
      <family val="2"/>
    </font>
    <font>
      <b/>
      <i/>
      <sz val="11"/>
      <name val="Arial"/>
      <family val="2"/>
      <charset val="204"/>
    </font>
  </fonts>
  <fills count="19">
    <fill>
      <patternFill patternType="none"/>
    </fill>
    <fill>
      <patternFill patternType="gray125"/>
    </fill>
    <fill>
      <patternFill patternType="solid">
        <fgColor theme="2" tint="-9.9978637043366805E-2"/>
        <bgColor indexed="64"/>
      </patternFill>
    </fill>
    <fill>
      <patternFill patternType="solid">
        <fgColor theme="4"/>
        <bgColor theme="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0"/>
        <bgColor indexed="64"/>
      </patternFill>
    </fill>
    <fill>
      <patternFill patternType="solid">
        <fgColor rgb="FFF0EFED"/>
        <bgColor theme="4" tint="0.59999389629810485"/>
      </patternFill>
    </fill>
    <fill>
      <patternFill patternType="solid">
        <fgColor rgb="FFF0EFED"/>
        <bgColor theme="4" tint="0.79998168889431442"/>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8CC052"/>
        <bgColor theme="4"/>
      </patternFill>
    </fill>
    <fill>
      <patternFill patternType="solid">
        <fgColor rgb="FF434953"/>
        <bgColor theme="4"/>
      </patternFill>
    </fill>
    <fill>
      <patternFill patternType="solid">
        <fgColor theme="0" tint="-0.14999847407452621"/>
        <bgColor indexed="64"/>
      </patternFill>
    </fill>
    <fill>
      <patternFill patternType="solid">
        <fgColor theme="3"/>
        <bgColor theme="4"/>
      </patternFill>
    </fill>
    <fill>
      <patternFill patternType="solid">
        <fgColor theme="7"/>
        <bgColor theme="7"/>
      </patternFill>
    </fill>
    <fill>
      <patternFill patternType="solid">
        <fgColor theme="7" tint="0.59999389629810485"/>
        <bgColor theme="7" tint="0.59999389629810485"/>
      </patternFill>
    </fill>
    <fill>
      <patternFill patternType="solid">
        <fgColor theme="7" tint="0.79998168889431442"/>
        <bgColor theme="7" tint="0.79998168889431442"/>
      </patternFill>
    </fill>
  </fills>
  <borders count="85">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11"/>
      </left>
      <right style="medium">
        <color indexed="11"/>
      </right>
      <top style="medium">
        <color indexed="11"/>
      </top>
      <bottom style="medium">
        <color indexed="11"/>
      </bottom>
      <diagonal/>
    </border>
    <border>
      <left/>
      <right/>
      <top/>
      <bottom style="thin">
        <color indexed="64"/>
      </bottom>
      <diagonal/>
    </border>
    <border>
      <left/>
      <right/>
      <top style="thin">
        <color indexed="64"/>
      </top>
      <bottom/>
      <diagonal/>
    </border>
    <border>
      <left style="medium">
        <color indexed="11"/>
      </left>
      <right/>
      <top style="medium">
        <color indexed="11"/>
      </top>
      <bottom style="medium">
        <color indexed="1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top/>
      <bottom/>
      <diagonal/>
    </border>
    <border>
      <left/>
      <right/>
      <top style="thick">
        <color theme="0"/>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top/>
      <bottom style="thin">
        <color theme="0"/>
      </bottom>
      <diagonal/>
    </border>
    <border>
      <left/>
      <right style="thin">
        <color indexed="64"/>
      </right>
      <top style="medium">
        <color indexed="11"/>
      </top>
      <bottom style="medium">
        <color indexed="11"/>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theme="0"/>
      </left>
      <right/>
      <top style="thin">
        <color theme="0"/>
      </top>
      <bottom/>
      <diagonal/>
    </border>
    <border>
      <left style="thin">
        <color theme="0"/>
      </left>
      <right/>
      <top style="thick">
        <color theme="0"/>
      </top>
      <bottom/>
      <diagonal/>
    </border>
    <border>
      <left/>
      <right/>
      <top style="thin">
        <color theme="0"/>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bottom style="double">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4A89DC"/>
      </left>
      <right style="thin">
        <color rgb="FF4A89DC"/>
      </right>
      <top style="thin">
        <color rgb="FF4A89DC"/>
      </top>
      <bottom style="thin">
        <color rgb="FF4A89DC"/>
      </bottom>
      <diagonal/>
    </border>
    <border>
      <left/>
      <right style="thin">
        <color theme="0"/>
      </right>
      <top style="double">
        <color indexed="64"/>
      </top>
      <bottom/>
      <diagonal/>
    </border>
    <border>
      <left/>
      <right style="thin">
        <color theme="0"/>
      </right>
      <top/>
      <bottom style="medium">
        <color indexed="64"/>
      </bottom>
      <diagonal/>
    </border>
    <border>
      <left/>
      <right style="thin">
        <color indexed="64"/>
      </right>
      <top/>
      <bottom style="thin">
        <color theme="0"/>
      </bottom>
      <diagonal/>
    </border>
    <border>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ck">
        <color theme="0"/>
      </top>
      <bottom/>
      <diagonal/>
    </border>
    <border>
      <left style="thin">
        <color indexed="64"/>
      </left>
      <right/>
      <top style="thin">
        <color theme="0"/>
      </top>
      <bottom/>
      <diagonal/>
    </border>
    <border>
      <left style="thin">
        <color indexed="64"/>
      </left>
      <right/>
      <top style="medium">
        <color indexed="64"/>
      </top>
      <bottom/>
      <diagonal/>
    </border>
    <border>
      <left style="medium">
        <color indexed="64"/>
      </left>
      <right/>
      <top style="thin">
        <color theme="0"/>
      </top>
      <bottom/>
      <diagonal/>
    </border>
    <border>
      <left style="thin">
        <color theme="0"/>
      </left>
      <right/>
      <top style="medium">
        <color indexed="64"/>
      </top>
      <bottom/>
      <diagonal/>
    </border>
    <border>
      <left style="thin">
        <color theme="0"/>
      </left>
      <right style="thin">
        <color indexed="64"/>
      </right>
      <top/>
      <bottom/>
      <diagonal/>
    </border>
    <border>
      <left style="thin">
        <color theme="0"/>
      </left>
      <right style="thin">
        <color indexed="64"/>
      </right>
      <top style="thick">
        <color theme="0"/>
      </top>
      <bottom/>
      <diagonal/>
    </border>
    <border>
      <left style="thin">
        <color theme="0"/>
      </left>
      <right style="thin">
        <color indexed="64"/>
      </right>
      <top style="thin">
        <color theme="0"/>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20" fillId="0" borderId="0" applyFont="0" applyFill="0" applyBorder="0" applyAlignment="0" applyProtection="0"/>
    <xf numFmtId="0" fontId="30" fillId="0" borderId="0"/>
    <xf numFmtId="44" fontId="31" fillId="0" borderId="0" applyFont="0" applyFill="0" applyBorder="0" applyAlignment="0" applyProtection="0"/>
    <xf numFmtId="0" fontId="32" fillId="6" borderId="0" applyNumberFormat="0" applyBorder="0" applyAlignment="0" applyProtection="0"/>
    <xf numFmtId="0" fontId="33" fillId="4" borderId="17" applyNumberFormat="0" applyAlignment="0" applyProtection="0"/>
    <xf numFmtId="0" fontId="34" fillId="5" borderId="17" applyNumberFormat="0" applyAlignment="0" applyProtection="0"/>
  </cellStyleXfs>
  <cellXfs count="1105">
    <xf numFmtId="0" fontId="0" fillId="0" borderId="0" xfId="0"/>
    <xf numFmtId="0" fontId="3" fillId="0" borderId="0" xfId="0" applyNumberFormat="1" applyFont="1" applyFill="1" applyBorder="1" applyAlignment="1" applyProtection="1"/>
    <xf numFmtId="164" fontId="4" fillId="0" borderId="0" xfId="0" applyNumberFormat="1" applyFont="1"/>
    <xf numFmtId="0" fontId="4" fillId="0" borderId="0" xfId="0" applyNumberFormat="1" applyFont="1" applyFill="1" applyBorder="1" applyAlignment="1" applyProtection="1"/>
    <xf numFmtId="0" fontId="6" fillId="0" borderId="0" xfId="0" applyNumberFormat="1" applyFont="1" applyFill="1" applyBorder="1" applyAlignment="1" applyProtection="1"/>
    <xf numFmtId="0" fontId="5" fillId="0" borderId="0" xfId="0" applyNumberFormat="1" applyFont="1" applyFill="1" applyBorder="1" applyAlignment="1" applyProtection="1">
      <alignment horizontal="left"/>
    </xf>
    <xf numFmtId="5" fontId="4" fillId="0" borderId="0" xfId="0" applyNumberFormat="1" applyFont="1" applyFill="1" applyBorder="1" applyAlignment="1" applyProtection="1"/>
    <xf numFmtId="0" fontId="4" fillId="0" borderId="0" xfId="0" applyNumberFormat="1" applyFont="1" applyFill="1" applyBorder="1" applyAlignment="1" applyProtection="1">
      <protection locked="0"/>
    </xf>
    <xf numFmtId="0" fontId="4" fillId="0" borderId="0" xfId="0" applyNumberFormat="1" applyFont="1" applyFill="1" applyBorder="1" applyAlignment="1" applyProtection="1">
      <alignment horizontal="right"/>
    </xf>
    <xf numFmtId="5" fontId="4" fillId="0" borderId="0" xfId="0" applyNumberFormat="1" applyFont="1" applyFill="1" applyBorder="1" applyAlignment="1" applyProtection="1">
      <protection locked="0"/>
    </xf>
    <xf numFmtId="5" fontId="5" fillId="0" borderId="0" xfId="0" applyNumberFormat="1" applyFont="1" applyFill="1" applyBorder="1" applyAlignment="1" applyProtection="1">
      <alignment horizontal="right"/>
    </xf>
    <xf numFmtId="0" fontId="9" fillId="0" borderId="0" xfId="0" applyNumberFormat="1" applyFont="1" applyFill="1" applyBorder="1" applyAlignment="1" applyProtection="1"/>
    <xf numFmtId="0" fontId="9" fillId="0" borderId="0" xfId="0" applyNumberFormat="1" applyFont="1" applyFill="1" applyBorder="1" applyAlignment="1" applyProtection="1">
      <protection locked="0"/>
    </xf>
    <xf numFmtId="0" fontId="5" fillId="0" borderId="0" xfId="0" applyNumberFormat="1" applyFont="1" applyFill="1" applyBorder="1" applyAlignment="1" applyProtection="1"/>
    <xf numFmtId="0" fontId="12" fillId="0" borderId="0" xfId="0" applyNumberFormat="1" applyFont="1" applyFill="1" applyBorder="1" applyAlignment="1" applyProtection="1"/>
    <xf numFmtId="0" fontId="12" fillId="0" borderId="0" xfId="0" applyFont="1"/>
    <xf numFmtId="0" fontId="12" fillId="0" borderId="0" xfId="0" applyFont="1" applyProtection="1">
      <protection locked="0"/>
    </xf>
    <xf numFmtId="0" fontId="12"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left"/>
    </xf>
    <xf numFmtId="0" fontId="12" fillId="0" borderId="0" xfId="0" applyFont="1" applyProtection="1"/>
    <xf numFmtId="5" fontId="12"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right"/>
    </xf>
    <xf numFmtId="164" fontId="12" fillId="0" borderId="0" xfId="0" applyNumberFormat="1" applyFont="1" applyBorder="1"/>
    <xf numFmtId="0" fontId="12" fillId="0" borderId="0" xfId="0" applyNumberFormat="1" applyFont="1" applyFill="1" applyBorder="1" applyAlignment="1" applyProtection="1">
      <alignment horizontal="left"/>
    </xf>
    <xf numFmtId="164" fontId="3" fillId="0" borderId="0" xfId="0" applyNumberFormat="1" applyFont="1" applyAlignment="1">
      <alignment horizontal="left"/>
    </xf>
    <xf numFmtId="0" fontId="12" fillId="0" borderId="0" xfId="0" applyFont="1" applyFill="1" applyProtection="1">
      <protection locked="0"/>
    </xf>
    <xf numFmtId="5" fontId="12" fillId="0" borderId="0" xfId="0" applyNumberFormat="1" applyFont="1" applyFill="1" applyBorder="1" applyAlignment="1" applyProtection="1"/>
    <xf numFmtId="5" fontId="12"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right" wrapText="1"/>
    </xf>
    <xf numFmtId="0" fontId="13" fillId="0" borderId="0" xfId="0" applyNumberFormat="1" applyFont="1" applyFill="1" applyBorder="1" applyAlignment="1" applyProtection="1"/>
    <xf numFmtId="164" fontId="10" fillId="0" borderId="3" xfId="0" applyNumberFormat="1" applyFont="1" applyBorder="1" applyAlignment="1">
      <alignment horizontal="center"/>
    </xf>
    <xf numFmtId="0" fontId="10" fillId="0" borderId="0" xfId="0" applyNumberFormat="1" applyFont="1" applyFill="1" applyBorder="1" applyAlignment="1" applyProtection="1"/>
    <xf numFmtId="0" fontId="12" fillId="0" borderId="0" xfId="0" applyFont="1" applyBorder="1" applyProtection="1"/>
    <xf numFmtId="0" fontId="12" fillId="0" borderId="0" xfId="0" applyFont="1" applyBorder="1" applyProtection="1">
      <protection locked="0"/>
    </xf>
    <xf numFmtId="0" fontId="12" fillId="0" borderId="0" xfId="0" applyFont="1" applyFill="1" applyBorder="1" applyProtection="1">
      <protection locked="0"/>
    </xf>
    <xf numFmtId="0" fontId="15" fillId="0" borderId="0" xfId="0" applyNumberFormat="1" applyFont="1" applyFill="1" applyBorder="1" applyAlignment="1" applyProtection="1">
      <alignment horizontal="right"/>
    </xf>
    <xf numFmtId="5" fontId="15" fillId="0" borderId="0" xfId="0" applyNumberFormat="1" applyFont="1" applyFill="1" applyBorder="1" applyAlignment="1" applyProtection="1">
      <alignment horizontal="right"/>
    </xf>
    <xf numFmtId="0" fontId="9" fillId="0" borderId="0" xfId="0" applyNumberFormat="1" applyFont="1" applyFill="1" applyBorder="1" applyAlignment="1" applyProtection="1">
      <alignment horizontal="left"/>
    </xf>
    <xf numFmtId="0" fontId="12" fillId="0" borderId="0" xfId="0" applyFont="1" applyFill="1" applyProtection="1"/>
    <xf numFmtId="0" fontId="13" fillId="0" borderId="0" xfId="0" applyFont="1" applyBorder="1" applyAlignment="1" applyProtection="1">
      <alignment horizontal="center"/>
    </xf>
    <xf numFmtId="164" fontId="12" fillId="0" borderId="0" xfId="0" applyNumberFormat="1" applyFont="1" applyBorder="1" applyProtection="1"/>
    <xf numFmtId="0" fontId="0" fillId="0" borderId="0" xfId="0" applyBorder="1" applyProtection="1"/>
    <xf numFmtId="44" fontId="13" fillId="0" borderId="0" xfId="2" applyFont="1" applyBorder="1" applyProtection="1"/>
    <xf numFmtId="43" fontId="12" fillId="0" borderId="0" xfId="1" applyFont="1" applyFill="1" applyBorder="1" applyProtection="1"/>
    <xf numFmtId="0" fontId="4" fillId="0" borderId="0" xfId="0" applyNumberFormat="1" applyFont="1" applyFill="1" applyBorder="1" applyAlignment="1" applyProtection="1">
      <alignment horizontal="center"/>
    </xf>
    <xf numFmtId="44" fontId="12" fillId="0" borderId="0" xfId="2" applyFont="1" applyBorder="1"/>
    <xf numFmtId="0" fontId="4" fillId="0" borderId="0" xfId="0" applyNumberFormat="1" applyFont="1" applyFill="1" applyBorder="1" applyAlignment="1" applyProtection="1">
      <alignment horizontal="right" wrapText="1"/>
    </xf>
    <xf numFmtId="5" fontId="4" fillId="0" borderId="0" xfId="0" applyNumberFormat="1" applyFont="1" applyFill="1" applyBorder="1" applyAlignment="1" applyProtection="1">
      <alignment horizontal="right" wrapText="1"/>
    </xf>
    <xf numFmtId="5" fontId="0" fillId="0" borderId="0" xfId="0" applyNumberFormat="1" applyFont="1" applyFill="1" applyBorder="1" applyAlignment="1" applyProtection="1">
      <alignment horizontal="right" wrapText="1"/>
    </xf>
    <xf numFmtId="0" fontId="0" fillId="0" borderId="0" xfId="0" applyNumberFormat="1" applyFont="1" applyFill="1" applyBorder="1" applyAlignment="1" applyProtection="1">
      <alignment horizontal="right" wrapText="1"/>
    </xf>
    <xf numFmtId="0" fontId="16" fillId="0" borderId="0" xfId="0" applyNumberFormat="1" applyFont="1" applyFill="1" applyBorder="1" applyAlignment="1" applyProtection="1">
      <alignment horizontal="right" wrapText="1"/>
    </xf>
    <xf numFmtId="164" fontId="16" fillId="0" borderId="0" xfId="0" applyNumberFormat="1" applyFont="1"/>
    <xf numFmtId="44" fontId="4" fillId="0" borderId="0" xfId="0" applyNumberFormat="1" applyFont="1" applyFill="1" applyBorder="1" applyAlignment="1" applyProtection="1"/>
    <xf numFmtId="0" fontId="1" fillId="0" borderId="6" xfId="1" applyNumberFormat="1" applyFont="1" applyBorder="1" applyAlignment="1" applyProtection="1">
      <alignment horizontal="center" vertical="center"/>
      <protection locked="0"/>
    </xf>
    <xf numFmtId="164" fontId="1" fillId="0" borderId="0" xfId="0" applyNumberFormat="1" applyFont="1" applyAlignment="1">
      <alignment horizontal="center" vertical="center"/>
    </xf>
    <xf numFmtId="0" fontId="1" fillId="0" borderId="0" xfId="0" applyNumberFormat="1" applyFont="1" applyFill="1" applyBorder="1" applyAlignment="1" applyProtection="1">
      <alignment horizontal="right"/>
    </xf>
    <xf numFmtId="0" fontId="1" fillId="0" borderId="0" xfId="0" applyNumberFormat="1" applyFont="1" applyFill="1" applyBorder="1" applyAlignment="1" applyProtection="1"/>
    <xf numFmtId="0" fontId="1" fillId="0" borderId="0" xfId="0" applyFont="1"/>
    <xf numFmtId="0" fontId="0" fillId="0" borderId="0" xfId="0" applyAlignment="1">
      <alignment horizontal="right"/>
    </xf>
    <xf numFmtId="0" fontId="1" fillId="0" borderId="0" xfId="0" applyFont="1" applyAlignment="1">
      <alignment horizontal="right"/>
    </xf>
    <xf numFmtId="5" fontId="1" fillId="0" borderId="0" xfId="0" applyNumberFormat="1" applyFont="1" applyFill="1" applyBorder="1" applyAlignment="1" applyProtection="1">
      <alignment horizontal="right" wrapText="1"/>
    </xf>
    <xf numFmtId="0" fontId="1" fillId="0" borderId="0" xfId="0" applyNumberFormat="1" applyFont="1" applyFill="1" applyBorder="1" applyAlignment="1" applyProtection="1">
      <alignment horizontal="right" wrapText="1"/>
    </xf>
    <xf numFmtId="164" fontId="4" fillId="0" borderId="0" xfId="0" applyNumberFormat="1" applyFont="1" applyBorder="1"/>
    <xf numFmtId="164" fontId="19" fillId="0" borderId="0" xfId="0" applyNumberFormat="1" applyFont="1" applyBorder="1"/>
    <xf numFmtId="0" fontId="17" fillId="0" borderId="0" xfId="0" applyNumberFormat="1" applyFont="1" applyFill="1" applyBorder="1" applyAlignment="1" applyProtection="1"/>
    <xf numFmtId="164" fontId="3" fillId="0" borderId="9" xfId="0" applyNumberFormat="1" applyFont="1" applyBorder="1" applyAlignment="1">
      <alignment horizontal="left"/>
    </xf>
    <xf numFmtId="164" fontId="4" fillId="0" borderId="10" xfId="0" applyNumberFormat="1" applyFont="1" applyBorder="1"/>
    <xf numFmtId="0" fontId="5" fillId="0" borderId="9" xfId="0" applyNumberFormat="1" applyFont="1" applyFill="1" applyBorder="1" applyAlignment="1" applyProtection="1"/>
    <xf numFmtId="0" fontId="1" fillId="0" borderId="0" xfId="1" applyNumberFormat="1" applyFont="1" applyBorder="1" applyAlignment="1" applyProtection="1">
      <alignment horizontal="center" vertical="center"/>
      <protection locked="0"/>
    </xf>
    <xf numFmtId="0" fontId="0" fillId="0" borderId="0" xfId="0" applyBorder="1"/>
    <xf numFmtId="0" fontId="12"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right"/>
    </xf>
    <xf numFmtId="0" fontId="5" fillId="0" borderId="9" xfId="0" applyNumberFormat="1" applyFont="1" applyFill="1" applyBorder="1" applyAlignment="1" applyProtection="1">
      <alignment horizontal="left"/>
    </xf>
    <xf numFmtId="164" fontId="12" fillId="0" borderId="0" xfId="0" applyNumberFormat="1" applyFont="1" applyBorder="1" applyAlignment="1" applyProtection="1">
      <alignment horizontal="center"/>
    </xf>
    <xf numFmtId="44" fontId="12" fillId="0" borderId="0" xfId="2" applyFont="1" applyBorder="1" applyProtection="1"/>
    <xf numFmtId="43" fontId="12" fillId="0" borderId="0" xfId="1" applyFont="1" applyBorder="1" applyProtection="1"/>
    <xf numFmtId="164" fontId="3" fillId="0" borderId="0" xfId="0" applyNumberFormat="1" applyFont="1" applyBorder="1" applyAlignment="1" applyProtection="1">
      <alignment horizontal="left"/>
    </xf>
    <xf numFmtId="164" fontId="13" fillId="0" borderId="0" xfId="0" applyNumberFormat="1" applyFont="1" applyBorder="1" applyAlignment="1" applyProtection="1">
      <alignment horizontal="left"/>
    </xf>
    <xf numFmtId="5" fontId="29" fillId="0" borderId="0" xfId="0" applyNumberFormat="1" applyFont="1" applyFill="1" applyBorder="1" applyAlignment="1">
      <alignment horizontal="right"/>
    </xf>
    <xf numFmtId="44" fontId="0" fillId="0" borderId="0" xfId="2" applyNumberFormat="1" applyFont="1" applyFill="1" applyBorder="1"/>
    <xf numFmtId="14" fontId="10" fillId="0" borderId="0" xfId="1" applyNumberFormat="1" applyFont="1" applyBorder="1" applyAlignment="1" applyProtection="1">
      <alignment horizontal="center"/>
    </xf>
    <xf numFmtId="0" fontId="10" fillId="0" borderId="0" xfId="0" applyNumberFormat="1" applyFont="1" applyFill="1" applyBorder="1" applyAlignment="1" applyProtection="1">
      <alignment horizontal="right"/>
    </xf>
    <xf numFmtId="164" fontId="6" fillId="0" borderId="0" xfId="0" applyNumberFormat="1" applyFont="1" applyBorder="1" applyAlignment="1" applyProtection="1">
      <alignment horizontal="left"/>
    </xf>
    <xf numFmtId="43" fontId="1" fillId="0" borderId="0" xfId="1" applyBorder="1" applyProtection="1"/>
    <xf numFmtId="0" fontId="13" fillId="0" borderId="0" xfId="0" applyFont="1" applyBorder="1" applyProtection="1"/>
    <xf numFmtId="43" fontId="13" fillId="0" borderId="0" xfId="1" applyFont="1" applyBorder="1" applyProtection="1"/>
    <xf numFmtId="0" fontId="12" fillId="0" borderId="0" xfId="0" applyFont="1" applyBorder="1"/>
    <xf numFmtId="0" fontId="12" fillId="0" borderId="0" xfId="0" applyFont="1" applyFill="1" applyBorder="1" applyProtection="1"/>
    <xf numFmtId="43" fontId="1" fillId="0" borderId="0" xfId="1" applyBorder="1"/>
    <xf numFmtId="0" fontId="17"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13" fillId="0" borderId="0" xfId="0" applyNumberFormat="1" applyFont="1" applyFill="1" applyBorder="1" applyAlignment="1" applyProtection="1">
      <alignment vertical="center"/>
    </xf>
    <xf numFmtId="0" fontId="0" fillId="0" borderId="0" xfId="0" applyAlignment="1">
      <alignment vertical="center"/>
    </xf>
    <xf numFmtId="0" fontId="26" fillId="0" borderId="0" xfId="0" applyNumberFormat="1" applyFont="1" applyFill="1" applyBorder="1" applyAlignment="1" applyProtection="1">
      <alignment vertical="center"/>
    </xf>
    <xf numFmtId="0" fontId="5" fillId="0" borderId="0" xfId="0" applyFont="1" applyAlignment="1">
      <alignment vertical="center"/>
    </xf>
    <xf numFmtId="166" fontId="5" fillId="0" borderId="0" xfId="2" applyNumberFormat="1" applyFont="1" applyAlignment="1">
      <alignment vertical="center"/>
    </xf>
    <xf numFmtId="0" fontId="37" fillId="0" borderId="0" xfId="0" applyFont="1" applyAlignment="1">
      <alignment horizontal="right" vertical="center"/>
    </xf>
    <xf numFmtId="0" fontId="0" fillId="0" borderId="0" xfId="0" applyProtection="1">
      <protection hidden="1"/>
    </xf>
    <xf numFmtId="42" fontId="0" fillId="0" borderId="10" xfId="0" applyNumberFormat="1" applyBorder="1" applyProtection="1">
      <protection hidden="1"/>
    </xf>
    <xf numFmtId="0" fontId="1" fillId="0" borderId="9" xfId="0" applyFont="1" applyBorder="1" applyProtection="1">
      <protection hidden="1"/>
    </xf>
    <xf numFmtId="0" fontId="0" fillId="0" borderId="0" xfId="0" applyBorder="1" applyProtection="1">
      <protection hidden="1"/>
    </xf>
    <xf numFmtId="41" fontId="0" fillId="0" borderId="10" xfId="0" applyNumberFormat="1" applyBorder="1" applyProtection="1">
      <protection hidden="1"/>
    </xf>
    <xf numFmtId="166" fontId="5" fillId="0" borderId="14" xfId="0" applyNumberFormat="1" applyFont="1" applyBorder="1" applyProtection="1">
      <protection hidden="1"/>
    </xf>
    <xf numFmtId="42" fontId="0" fillId="0" borderId="10" xfId="2" applyNumberFormat="1" applyFont="1" applyBorder="1" applyProtection="1">
      <protection hidden="1"/>
    </xf>
    <xf numFmtId="0" fontId="0" fillId="0" borderId="9" xfId="0" applyBorder="1" applyProtection="1">
      <protection hidden="1"/>
    </xf>
    <xf numFmtId="166" fontId="5" fillId="0" borderId="14" xfId="2" applyNumberFormat="1" applyFont="1" applyBorder="1" applyProtection="1">
      <protection hidden="1"/>
    </xf>
    <xf numFmtId="166" fontId="0" fillId="0" borderId="0" xfId="0" applyNumberFormat="1" applyBorder="1" applyProtection="1">
      <protection hidden="1"/>
    </xf>
    <xf numFmtId="166" fontId="25" fillId="0" borderId="0" xfId="0" applyNumberFormat="1" applyFont="1" applyBorder="1" applyProtection="1">
      <protection hidden="1"/>
    </xf>
    <xf numFmtId="166" fontId="21" fillId="0" borderId="4" xfId="0" applyNumberFormat="1" applyFont="1" applyBorder="1" applyProtection="1">
      <protection hidden="1"/>
    </xf>
    <xf numFmtId="0" fontId="19" fillId="0" borderId="5" xfId="0" applyFont="1" applyBorder="1" applyAlignment="1" applyProtection="1">
      <protection hidden="1"/>
    </xf>
    <xf numFmtId="167" fontId="0" fillId="0" borderId="0" xfId="0" applyNumberFormat="1" applyBorder="1" applyAlignment="1" applyProtection="1">
      <protection hidden="1"/>
    </xf>
    <xf numFmtId="2" fontId="0" fillId="0" borderId="0" xfId="0" applyNumberFormat="1" applyBorder="1" applyAlignment="1" applyProtection="1">
      <alignment horizontal="center"/>
      <protection hidden="1"/>
    </xf>
    <xf numFmtId="9" fontId="0" fillId="0" borderId="0" xfId="4" applyFont="1" applyBorder="1" applyAlignment="1" applyProtection="1">
      <alignment horizontal="center"/>
      <protection hidden="1"/>
    </xf>
    <xf numFmtId="42" fontId="0" fillId="0" borderId="0" xfId="2" applyNumberFormat="1" applyFont="1" applyBorder="1" applyProtection="1">
      <protection hidden="1"/>
    </xf>
    <xf numFmtId="41" fontId="0" fillId="0" borderId="0" xfId="2" applyNumberFormat="1" applyFont="1" applyBorder="1" applyProtection="1">
      <protection hidden="1"/>
    </xf>
    <xf numFmtId="42" fontId="5" fillId="0" borderId="4" xfId="2" applyNumberFormat="1" applyFont="1" applyBorder="1" applyProtection="1">
      <protection hidden="1"/>
    </xf>
    <xf numFmtId="0" fontId="0" fillId="0" borderId="5" xfId="0" applyBorder="1" applyProtection="1">
      <protection hidden="1"/>
    </xf>
    <xf numFmtId="42" fontId="0" fillId="0" borderId="0" xfId="0" applyNumberFormat="1" applyBorder="1" applyProtection="1">
      <protection hidden="1"/>
    </xf>
    <xf numFmtId="42" fontId="27" fillId="0" borderId="0" xfId="2" applyNumberFormat="1" applyFont="1" applyBorder="1" applyProtection="1">
      <protection hidden="1"/>
    </xf>
    <xf numFmtId="42" fontId="5" fillId="0" borderId="0" xfId="0" applyNumberFormat="1" applyFont="1" applyBorder="1" applyProtection="1">
      <protection hidden="1"/>
    </xf>
    <xf numFmtId="0" fontId="1" fillId="0" borderId="25" xfId="0" applyFont="1" applyBorder="1" applyAlignment="1" applyProtection="1">
      <alignment horizontal="right"/>
      <protection hidden="1"/>
    </xf>
    <xf numFmtId="42" fontId="0" fillId="0" borderId="26" xfId="0" applyNumberFormat="1" applyBorder="1" applyProtection="1">
      <protection hidden="1"/>
    </xf>
    <xf numFmtId="41" fontId="0" fillId="0" borderId="26" xfId="0" applyNumberFormat="1" applyBorder="1" applyProtection="1">
      <protection hidden="1"/>
    </xf>
    <xf numFmtId="0" fontId="5" fillId="0" borderId="27" xfId="0" applyFont="1" applyBorder="1" applyProtection="1">
      <protection hidden="1"/>
    </xf>
    <xf numFmtId="166" fontId="5" fillId="0" borderId="28" xfId="0" applyNumberFormat="1" applyFont="1" applyBorder="1" applyProtection="1">
      <protection hidden="1"/>
    </xf>
    <xf numFmtId="5" fontId="22" fillId="0" borderId="25" xfId="0" applyNumberFormat="1" applyFont="1" applyFill="1" applyBorder="1" applyAlignment="1" applyProtection="1">
      <alignment horizontal="right"/>
      <protection hidden="1"/>
    </xf>
    <xf numFmtId="166" fontId="0" fillId="0" borderId="26" xfId="0" applyNumberFormat="1" applyBorder="1" applyProtection="1">
      <protection hidden="1"/>
    </xf>
    <xf numFmtId="0" fontId="24" fillId="0" borderId="27" xfId="0" applyNumberFormat="1" applyFont="1" applyFill="1" applyBorder="1" applyAlignment="1" applyProtection="1">
      <alignment horizontal="left"/>
      <protection hidden="1"/>
    </xf>
    <xf numFmtId="0" fontId="25" fillId="0" borderId="25" xfId="0" applyNumberFormat="1" applyFont="1" applyFill="1" applyBorder="1" applyAlignment="1" applyProtection="1">
      <alignment horizontal="right"/>
      <protection hidden="1"/>
    </xf>
    <xf numFmtId="166" fontId="25" fillId="0" borderId="26" xfId="0" applyNumberFormat="1" applyFont="1" applyBorder="1" applyProtection="1">
      <protection hidden="1"/>
    </xf>
    <xf numFmtId="0" fontId="21" fillId="0" borderId="27" xfId="0" applyFont="1" applyBorder="1" applyAlignment="1" applyProtection="1">
      <alignment horizontal="left" indent="1"/>
      <protection hidden="1"/>
    </xf>
    <xf numFmtId="166" fontId="21" fillId="0" borderId="28" xfId="0" applyNumberFormat="1" applyFont="1" applyBorder="1" applyProtection="1">
      <protection hidden="1"/>
    </xf>
    <xf numFmtId="0" fontId="0" fillId="0" borderId="26" xfId="0" applyBorder="1" applyProtection="1">
      <protection hidden="1"/>
    </xf>
    <xf numFmtId="9" fontId="0" fillId="0" borderId="18" xfId="4" applyFont="1" applyBorder="1" applyAlignment="1" applyProtection="1">
      <alignment horizontal="center"/>
      <protection hidden="1"/>
    </xf>
    <xf numFmtId="0" fontId="0" fillId="0" borderId="18" xfId="0" applyBorder="1" applyProtection="1">
      <protection hidden="1"/>
    </xf>
    <xf numFmtId="0" fontId="0" fillId="0" borderId="30" xfId="0" applyBorder="1" applyProtection="1">
      <protection hidden="1"/>
    </xf>
    <xf numFmtId="42" fontId="0" fillId="0" borderId="26" xfId="2" applyNumberFormat="1" applyFont="1" applyBorder="1" applyProtection="1">
      <protection hidden="1"/>
    </xf>
    <xf numFmtId="41" fontId="0" fillId="0" borderId="26" xfId="2" applyNumberFormat="1" applyFont="1" applyBorder="1" applyProtection="1">
      <protection hidden="1"/>
    </xf>
    <xf numFmtId="42" fontId="5" fillId="0" borderId="26" xfId="2" applyNumberFormat="1" applyFont="1" applyBorder="1" applyProtection="1">
      <protection hidden="1"/>
    </xf>
    <xf numFmtId="166" fontId="0" fillId="0" borderId="26" xfId="2" applyNumberFormat="1" applyFont="1" applyBorder="1" applyProtection="1">
      <protection hidden="1"/>
    </xf>
    <xf numFmtId="42" fontId="21" fillId="0" borderId="28" xfId="2" applyNumberFormat="1" applyFont="1" applyBorder="1" applyProtection="1">
      <protection hidden="1"/>
    </xf>
    <xf numFmtId="0" fontId="0" fillId="0" borderId="23" xfId="0" applyBorder="1" applyProtection="1">
      <protection hidden="1"/>
    </xf>
    <xf numFmtId="0" fontId="0" fillId="0" borderId="24" xfId="0" applyBorder="1" applyProtection="1">
      <protection hidden="1"/>
    </xf>
    <xf numFmtId="0" fontId="1" fillId="0" borderId="25" xfId="0" applyFont="1" applyBorder="1" applyProtection="1">
      <protection hidden="1"/>
    </xf>
    <xf numFmtId="0" fontId="27" fillId="0" borderId="25" xfId="0" applyFont="1" applyBorder="1" applyProtection="1">
      <protection hidden="1"/>
    </xf>
    <xf numFmtId="42" fontId="27" fillId="0" borderId="26" xfId="2" applyNumberFormat="1" applyFont="1" applyBorder="1" applyProtection="1">
      <protection hidden="1"/>
    </xf>
    <xf numFmtId="0" fontId="5" fillId="0" borderId="25" xfId="0" applyFont="1" applyBorder="1" applyProtection="1">
      <protection hidden="1"/>
    </xf>
    <xf numFmtId="42" fontId="5" fillId="0" borderId="26" xfId="0" applyNumberFormat="1" applyFont="1" applyBorder="1" applyProtection="1">
      <protection hidden="1"/>
    </xf>
    <xf numFmtId="43" fontId="4" fillId="0" borderId="0" xfId="1" applyFont="1" applyBorder="1" applyAlignment="1" applyProtection="1">
      <alignment horizontal="right"/>
      <protection locked="0"/>
    </xf>
    <xf numFmtId="164" fontId="4" fillId="0" borderId="0" xfId="0" applyNumberFormat="1" applyFont="1" applyBorder="1" applyProtection="1">
      <protection hidden="1"/>
    </xf>
    <xf numFmtId="5" fontId="35" fillId="0" borderId="0" xfId="0" applyNumberFormat="1" applyFont="1" applyFill="1" applyBorder="1" applyAlignment="1" applyProtection="1"/>
    <xf numFmtId="0" fontId="4" fillId="0" borderId="0" xfId="0" applyNumberFormat="1" applyFont="1" applyFill="1" applyBorder="1" applyAlignment="1" applyProtection="1">
      <alignment horizontal="right" wrapText="1"/>
      <protection locked="0"/>
    </xf>
    <xf numFmtId="43" fontId="4" fillId="0" borderId="0" xfId="1" applyFont="1" applyBorder="1" applyAlignment="1" applyProtection="1">
      <alignment horizontal="right" wrapText="1"/>
      <protection locked="0"/>
    </xf>
    <xf numFmtId="0" fontId="1" fillId="0" borderId="29" xfId="0" applyFont="1" applyBorder="1" applyAlignment="1" applyProtection="1">
      <alignment horizontal="right"/>
      <protection hidden="1"/>
    </xf>
    <xf numFmtId="0" fontId="1" fillId="0" borderId="25" xfId="0" applyFont="1" applyBorder="1" applyAlignment="1" applyProtection="1">
      <alignment horizontal="right"/>
      <protection hidden="1"/>
    </xf>
    <xf numFmtId="0" fontId="21" fillId="0" borderId="0" xfId="0" applyFont="1" applyAlignment="1" applyProtection="1">
      <alignment horizontal="right"/>
      <protection hidden="1"/>
    </xf>
    <xf numFmtId="0" fontId="4" fillId="0" borderId="0" xfId="0" applyNumberFormat="1" applyFont="1" applyFill="1" applyBorder="1" applyAlignment="1" applyProtection="1">
      <alignment horizontal="right"/>
      <protection locked="0"/>
    </xf>
    <xf numFmtId="0" fontId="4" fillId="0" borderId="0" xfId="0" applyFont="1" applyBorder="1" applyAlignment="1">
      <alignment horizontal="right"/>
    </xf>
    <xf numFmtId="0" fontId="0" fillId="0" borderId="25" xfId="0" applyBorder="1" applyProtection="1">
      <protection hidden="1"/>
    </xf>
    <xf numFmtId="5" fontId="0" fillId="0" borderId="18" xfId="2" applyNumberFormat="1" applyFont="1" applyBorder="1" applyAlignment="1" applyProtection="1">
      <alignment horizontal="center"/>
      <protection hidden="1"/>
    </xf>
    <xf numFmtId="164" fontId="4" fillId="0" borderId="0" xfId="0" applyNumberFormat="1" applyFont="1" applyBorder="1" applyAlignment="1">
      <alignment horizontal="center"/>
    </xf>
    <xf numFmtId="0" fontId="1" fillId="0" borderId="0" xfId="0" applyNumberFormat="1" applyFont="1" applyFill="1" applyBorder="1" applyAlignment="1" applyProtection="1">
      <alignment horizontal="right"/>
      <protection locked="0"/>
    </xf>
    <xf numFmtId="0" fontId="1" fillId="0" borderId="0" xfId="0" applyFont="1" applyBorder="1" applyAlignment="1">
      <alignment horizontal="right"/>
    </xf>
    <xf numFmtId="0" fontId="5" fillId="0" borderId="2" xfId="0" applyNumberFormat="1" applyFont="1" applyFill="1" applyBorder="1" applyAlignment="1" applyProtection="1">
      <alignment horizontal="right"/>
    </xf>
    <xf numFmtId="5" fontId="5" fillId="0" borderId="2" xfId="0" applyNumberFormat="1" applyFont="1" applyFill="1" applyBorder="1" applyAlignment="1" applyProtection="1">
      <alignment horizontal="right"/>
    </xf>
    <xf numFmtId="164" fontId="7" fillId="0" borderId="34" xfId="0" applyNumberFormat="1" applyFont="1" applyBorder="1" applyAlignment="1">
      <alignment horizontal="left"/>
    </xf>
    <xf numFmtId="5" fontId="5" fillId="0" borderId="34" xfId="0" applyNumberFormat="1" applyFont="1" applyFill="1" applyBorder="1" applyAlignment="1" applyProtection="1">
      <alignment horizontal="right"/>
    </xf>
    <xf numFmtId="5" fontId="35" fillId="0" borderId="0" xfId="0" applyNumberFormat="1" applyFont="1" applyFill="1" applyBorder="1" applyAlignment="1"/>
    <xf numFmtId="5" fontId="38" fillId="0" borderId="16" xfId="0" applyNumberFormat="1" applyFont="1" applyFill="1" applyBorder="1" applyAlignment="1"/>
    <xf numFmtId="0" fontId="35" fillId="0" borderId="0" xfId="0" applyNumberFormat="1" applyFont="1" applyFill="1" applyBorder="1" applyAlignment="1" applyProtection="1"/>
    <xf numFmtId="5" fontId="38" fillId="0" borderId="0" xfId="0" applyNumberFormat="1" applyFont="1" applyFill="1" applyBorder="1" applyAlignment="1" applyProtection="1"/>
    <xf numFmtId="0" fontId="35" fillId="0" borderId="35" xfId="0" applyNumberFormat="1" applyFont="1" applyFill="1" applyBorder="1" applyAlignment="1" applyProtection="1"/>
    <xf numFmtId="5" fontId="35" fillId="0" borderId="35" xfId="0" applyNumberFormat="1" applyFont="1" applyFill="1" applyBorder="1" applyAlignment="1" applyProtection="1"/>
    <xf numFmtId="0" fontId="2" fillId="0" borderId="0" xfId="3" quotePrefix="1" applyAlignment="1" applyProtection="1"/>
    <xf numFmtId="0" fontId="39" fillId="0" borderId="0" xfId="0" applyFont="1"/>
    <xf numFmtId="0" fontId="4" fillId="0" borderId="0" xfId="0" applyNumberFormat="1" applyFont="1" applyFill="1" applyBorder="1" applyAlignment="1" applyProtection="1">
      <alignment horizontal="left"/>
    </xf>
    <xf numFmtId="0" fontId="37" fillId="0" borderId="2" xfId="0" applyNumberFormat="1" applyFont="1" applyFill="1" applyBorder="1" applyAlignment="1" applyProtection="1"/>
    <xf numFmtId="164" fontId="7" fillId="0" borderId="2" xfId="0" applyNumberFormat="1" applyFont="1" applyBorder="1" applyAlignment="1">
      <alignment horizontal="left"/>
    </xf>
    <xf numFmtId="0" fontId="41" fillId="0" borderId="0" xfId="0" applyNumberFormat="1" applyFont="1" applyFill="1" applyBorder="1" applyAlignment="1" applyProtection="1">
      <alignment horizontal="left"/>
      <protection hidden="1"/>
    </xf>
    <xf numFmtId="0" fontId="42" fillId="0" borderId="0" xfId="0" applyNumberFormat="1" applyFont="1" applyFill="1" applyBorder="1" applyAlignment="1" applyProtection="1">
      <protection hidden="1"/>
    </xf>
    <xf numFmtId="5" fontId="42" fillId="0" borderId="0" xfId="0" applyNumberFormat="1" applyFont="1" applyFill="1" applyBorder="1" applyAlignment="1" applyProtection="1">
      <protection hidden="1"/>
    </xf>
    <xf numFmtId="5" fontId="1" fillId="0" borderId="0" xfId="0" applyNumberFormat="1" applyFont="1" applyFill="1" applyBorder="1" applyAlignment="1" applyProtection="1">
      <alignment vertical="center" wrapText="1"/>
    </xf>
    <xf numFmtId="5" fontId="4" fillId="0" borderId="0" xfId="0" applyNumberFormat="1" applyFont="1" applyFill="1" applyBorder="1" applyAlignment="1" applyProtection="1">
      <alignment vertical="center" wrapText="1"/>
    </xf>
    <xf numFmtId="0" fontId="40" fillId="0" borderId="14" xfId="0" applyFont="1" applyBorder="1" applyAlignment="1" applyProtection="1">
      <alignment horizontal="center" vertical="center" wrapText="1"/>
      <protection hidden="1"/>
    </xf>
    <xf numFmtId="0" fontId="1" fillId="0" borderId="9" xfId="0" applyNumberFormat="1" applyFont="1" applyFill="1" applyBorder="1" applyAlignment="1" applyProtection="1">
      <alignment horizontal="right"/>
    </xf>
    <xf numFmtId="43" fontId="4" fillId="0" borderId="9" xfId="1" applyFont="1" applyBorder="1" applyAlignment="1" applyProtection="1">
      <alignment horizontal="right"/>
      <protection locked="0"/>
    </xf>
    <xf numFmtId="0" fontId="5" fillId="0" borderId="9" xfId="0" applyNumberFormat="1" applyFont="1" applyFill="1" applyBorder="1" applyAlignment="1" applyProtection="1">
      <alignment horizontal="right"/>
    </xf>
    <xf numFmtId="0" fontId="1" fillId="0" borderId="9" xfId="0" applyNumberFormat="1" applyFont="1" applyFill="1" applyBorder="1" applyAlignment="1" applyProtection="1"/>
    <xf numFmtId="164" fontId="1" fillId="0" borderId="10" xfId="0" applyNumberFormat="1" applyFont="1" applyBorder="1"/>
    <xf numFmtId="164" fontId="4" fillId="0" borderId="10" xfId="0" applyNumberFormat="1" applyFont="1" applyBorder="1" applyProtection="1">
      <protection hidden="1"/>
    </xf>
    <xf numFmtId="5" fontId="5" fillId="0" borderId="9" xfId="0" applyNumberFormat="1" applyFont="1" applyFill="1" applyBorder="1" applyAlignment="1" applyProtection="1">
      <alignment horizontal="right"/>
    </xf>
    <xf numFmtId="0" fontId="1" fillId="0" borderId="9" xfId="0" quotePrefix="1" applyNumberFormat="1" applyFont="1" applyFill="1" applyBorder="1" applyAlignment="1" applyProtection="1">
      <alignment horizontal="right"/>
    </xf>
    <xf numFmtId="0" fontId="17" fillId="0" borderId="9" xfId="0" applyNumberFormat="1" applyFont="1" applyFill="1" applyBorder="1" applyAlignment="1" applyProtection="1"/>
    <xf numFmtId="0" fontId="17" fillId="0" borderId="11" xfId="0" applyNumberFormat="1" applyFont="1" applyFill="1" applyBorder="1" applyAlignment="1" applyProtection="1"/>
    <xf numFmtId="164" fontId="19" fillId="0" borderId="4" xfId="0" applyNumberFormat="1" applyFont="1" applyBorder="1" applyProtection="1">
      <protection hidden="1"/>
    </xf>
    <xf numFmtId="164" fontId="19" fillId="0" borderId="14" xfId="0" applyNumberFormat="1" applyFont="1" applyBorder="1" applyProtection="1">
      <protection hidden="1"/>
    </xf>
    <xf numFmtId="0" fontId="6" fillId="0" borderId="9" xfId="0" applyNumberFormat="1" applyFont="1" applyFill="1" applyBorder="1" applyAlignment="1" applyProtection="1"/>
    <xf numFmtId="164" fontId="1" fillId="0" borderId="0"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7" fillId="0" borderId="9" xfId="0" applyNumberFormat="1" applyFont="1" applyFill="1" applyBorder="1" applyAlignment="1" applyProtection="1">
      <alignment horizontal="right"/>
    </xf>
    <xf numFmtId="0" fontId="1" fillId="0" borderId="36" xfId="1" applyNumberFormat="1" applyFont="1" applyBorder="1" applyAlignment="1" applyProtection="1">
      <alignment horizontal="center" vertical="center"/>
      <protection locked="0"/>
    </xf>
    <xf numFmtId="0" fontId="2" fillId="0" borderId="9" xfId="3" applyBorder="1" applyAlignment="1" applyProtection="1"/>
    <xf numFmtId="0" fontId="0" fillId="0" borderId="9" xfId="0" applyNumberFormat="1" applyFont="1" applyFill="1" applyBorder="1" applyAlignment="1" applyProtection="1">
      <alignment horizontal="right"/>
    </xf>
    <xf numFmtId="43" fontId="0" fillId="0" borderId="9" xfId="1" applyFont="1" applyBorder="1" applyAlignment="1" applyProtection="1">
      <alignment horizontal="right"/>
      <protection locked="0"/>
    </xf>
    <xf numFmtId="0" fontId="4" fillId="0" borderId="9" xfId="0" applyNumberFormat="1" applyFont="1" applyFill="1" applyBorder="1" applyAlignment="1" applyProtection="1"/>
    <xf numFmtId="0" fontId="0" fillId="0" borderId="9" xfId="0" applyNumberFormat="1" applyFont="1" applyFill="1" applyBorder="1" applyAlignment="1" applyProtection="1">
      <alignment horizontal="right" wrapText="1"/>
    </xf>
    <xf numFmtId="5" fontId="1" fillId="0" borderId="9" xfId="0" applyNumberFormat="1" applyFont="1" applyFill="1" applyBorder="1" applyAlignment="1" applyProtection="1">
      <alignment horizontal="right" wrapText="1"/>
    </xf>
    <xf numFmtId="0" fontId="4" fillId="0" borderId="9" xfId="0" applyNumberFormat="1" applyFont="1" applyFill="1" applyBorder="1" applyAlignment="1" applyProtection="1">
      <alignment horizontal="right" wrapText="1"/>
    </xf>
    <xf numFmtId="5" fontId="0" fillId="0" borderId="9" xfId="0" applyNumberFormat="1" applyFont="1" applyFill="1" applyBorder="1" applyAlignment="1" applyProtection="1">
      <alignment horizontal="right" wrapText="1"/>
    </xf>
    <xf numFmtId="0" fontId="1" fillId="0" borderId="9" xfId="0" applyNumberFormat="1" applyFont="1" applyFill="1" applyBorder="1" applyAlignment="1" applyProtection="1">
      <alignment horizontal="right" wrapText="1"/>
    </xf>
    <xf numFmtId="164" fontId="19" fillId="0" borderId="4" xfId="0" applyNumberFormat="1" applyFont="1" applyBorder="1"/>
    <xf numFmtId="164" fontId="19" fillId="0" borderId="14" xfId="0" applyNumberFormat="1" applyFont="1" applyBorder="1"/>
    <xf numFmtId="0" fontId="4" fillId="0" borderId="9" xfId="0" applyNumberFormat="1" applyFont="1" applyFill="1" applyBorder="1" applyAlignment="1" applyProtection="1">
      <alignment horizontal="right"/>
      <protection locked="0"/>
    </xf>
    <xf numFmtId="0" fontId="4" fillId="0" borderId="9" xfId="0" applyFont="1" applyBorder="1" applyAlignment="1">
      <alignment horizontal="right"/>
    </xf>
    <xf numFmtId="0" fontId="1" fillId="0" borderId="9" xfId="0" applyNumberFormat="1" applyFont="1" applyFill="1" applyBorder="1" applyAlignment="1" applyProtection="1">
      <alignment horizontal="right"/>
      <protection locked="0"/>
    </xf>
    <xf numFmtId="0" fontId="16" fillId="0" borderId="9" xfId="0" applyNumberFormat="1" applyFont="1" applyFill="1" applyBorder="1" applyAlignment="1" applyProtection="1">
      <alignment horizontal="right" wrapText="1"/>
    </xf>
    <xf numFmtId="0" fontId="4" fillId="0" borderId="11" xfId="0" applyNumberFormat="1" applyFont="1" applyFill="1" applyBorder="1" applyAlignment="1" applyProtection="1"/>
    <xf numFmtId="164" fontId="4" fillId="0" borderId="4" xfId="0" applyNumberFormat="1" applyFont="1" applyBorder="1"/>
    <xf numFmtId="164" fontId="4" fillId="0" borderId="14" xfId="0" applyNumberFormat="1" applyFont="1" applyBorder="1"/>
    <xf numFmtId="166" fontId="4" fillId="0" borderId="0" xfId="2" applyNumberFormat="1" applyFont="1" applyBorder="1" applyProtection="1">
      <protection hidden="1"/>
    </xf>
    <xf numFmtId="166" fontId="4" fillId="0" borderId="0" xfId="1" applyNumberFormat="1" applyFont="1" applyBorder="1" applyProtection="1">
      <protection hidden="1"/>
    </xf>
    <xf numFmtId="166" fontId="4" fillId="0" borderId="0" xfId="0" applyNumberFormat="1" applyFont="1" applyFill="1" applyBorder="1" applyAlignment="1" applyProtection="1">
      <protection hidden="1"/>
    </xf>
    <xf numFmtId="166" fontId="4" fillId="0" borderId="0" xfId="0" applyNumberFormat="1" applyFont="1" applyBorder="1" applyProtection="1">
      <protection hidden="1"/>
    </xf>
    <xf numFmtId="166" fontId="4" fillId="0" borderId="0" xfId="0" applyNumberFormat="1" applyFont="1" applyFill="1" applyBorder="1" applyAlignment="1" applyProtection="1"/>
    <xf numFmtId="164" fontId="4" fillId="0" borderId="0" xfId="0" applyNumberFormat="1" applyFont="1" applyBorder="1" applyAlignment="1">
      <alignment horizontal="right"/>
    </xf>
    <xf numFmtId="0" fontId="0" fillId="0" borderId="0" xfId="0" applyBorder="1" applyAlignment="1">
      <alignment horizontal="left"/>
    </xf>
    <xf numFmtId="0" fontId="5" fillId="0" borderId="8" xfId="0" applyFont="1" applyBorder="1" applyAlignment="1" applyProtection="1">
      <alignment horizontal="center" vertical="center" wrapText="1"/>
      <protection locked="0"/>
    </xf>
    <xf numFmtId="0" fontId="42" fillId="7" borderId="0" xfId="0" applyFont="1" applyFill="1" applyProtection="1">
      <protection hidden="1"/>
    </xf>
    <xf numFmtId="0" fontId="42" fillId="7" borderId="0" xfId="0" applyFont="1" applyFill="1" applyAlignment="1" applyProtection="1">
      <alignment vertical="center"/>
      <protection hidden="1"/>
    </xf>
    <xf numFmtId="165" fontId="19" fillId="0" borderId="0" xfId="0" applyNumberFormat="1" applyFont="1" applyAlignment="1">
      <alignment horizontal="center"/>
    </xf>
    <xf numFmtId="0" fontId="43" fillId="0" borderId="0" xfId="0" applyNumberFormat="1" applyFont="1" applyFill="1" applyBorder="1" applyAlignment="1" applyProtection="1">
      <alignment horizontal="right"/>
    </xf>
    <xf numFmtId="44" fontId="26" fillId="0" borderId="0" xfId="2" applyFont="1" applyBorder="1" applyProtection="1"/>
    <xf numFmtId="44" fontId="26" fillId="0" borderId="0" xfId="2" applyFont="1" applyBorder="1"/>
    <xf numFmtId="44" fontId="44" fillId="0" borderId="15" xfId="2" applyNumberFormat="1" applyFont="1" applyFill="1" applyBorder="1"/>
    <xf numFmtId="44" fontId="44" fillId="0" borderId="15" xfId="1" applyNumberFormat="1" applyFont="1" applyFill="1" applyBorder="1"/>
    <xf numFmtId="44" fontId="5" fillId="0" borderId="0" xfId="2" applyFont="1" applyBorder="1" applyProtection="1"/>
    <xf numFmtId="44" fontId="5" fillId="0" borderId="15" xfId="2" applyNumberFormat="1" applyFont="1" applyFill="1" applyBorder="1"/>
    <xf numFmtId="43" fontId="26" fillId="0" borderId="0" xfId="1" applyFont="1" applyBorder="1" applyProtection="1"/>
    <xf numFmtId="44" fontId="26" fillId="0" borderId="0" xfId="2" applyFont="1" applyFill="1" applyBorder="1" applyProtection="1"/>
    <xf numFmtId="0" fontId="19"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left"/>
    </xf>
    <xf numFmtId="0" fontId="4" fillId="0" borderId="26" xfId="0" applyNumberFormat="1" applyFont="1" applyFill="1" applyBorder="1" applyAlignment="1" applyProtection="1">
      <alignment horizontal="right"/>
    </xf>
    <xf numFmtId="0" fontId="4" fillId="0" borderId="25" xfId="0" applyNumberFormat="1" applyFont="1" applyFill="1" applyBorder="1" applyAlignment="1" applyProtection="1"/>
    <xf numFmtId="0" fontId="17" fillId="0" borderId="25" xfId="0" applyNumberFormat="1" applyFont="1" applyFill="1" applyBorder="1" applyAlignment="1" applyProtection="1">
      <alignment horizontal="left"/>
    </xf>
    <xf numFmtId="0" fontId="5" fillId="0" borderId="25" xfId="0" applyNumberFormat="1" applyFont="1" applyFill="1" applyBorder="1" applyAlignment="1" applyProtection="1">
      <alignment horizontal="left"/>
    </xf>
    <xf numFmtId="44" fontId="4" fillId="0" borderId="26" xfId="2" applyFont="1" applyFill="1" applyBorder="1" applyAlignment="1" applyProtection="1">
      <alignment horizontal="right"/>
      <protection locked="0"/>
    </xf>
    <xf numFmtId="0" fontId="1" fillId="0" borderId="25" xfId="0" applyNumberFormat="1" applyFont="1" applyFill="1" applyBorder="1" applyAlignment="1" applyProtection="1">
      <alignment horizontal="right"/>
    </xf>
    <xf numFmtId="43" fontId="4" fillId="0" borderId="25" xfId="1" applyFont="1" applyBorder="1" applyAlignment="1" applyProtection="1">
      <alignment horizontal="right"/>
      <protection locked="0"/>
    </xf>
    <xf numFmtId="0" fontId="5" fillId="0" borderId="38" xfId="0" applyNumberFormat="1" applyFont="1" applyFill="1" applyBorder="1" applyAlignment="1" applyProtection="1">
      <alignment horizontal="right"/>
    </xf>
    <xf numFmtId="0" fontId="0" fillId="0" borderId="25" xfId="0" applyNumberFormat="1" applyFont="1" applyFill="1" applyBorder="1" applyAlignment="1" applyProtection="1">
      <alignment horizontal="right" wrapText="1"/>
    </xf>
    <xf numFmtId="5" fontId="1" fillId="0" borderId="25" xfId="0" applyNumberFormat="1" applyFont="1" applyFill="1" applyBorder="1" applyAlignment="1" applyProtection="1">
      <alignment horizontal="right" wrapText="1"/>
    </xf>
    <xf numFmtId="0" fontId="4" fillId="0" borderId="25" xfId="0" applyNumberFormat="1" applyFont="1" applyFill="1" applyBorder="1" applyAlignment="1" applyProtection="1">
      <alignment horizontal="right" wrapText="1"/>
    </xf>
    <xf numFmtId="5" fontId="0" fillId="0" borderId="25" xfId="0" applyNumberFormat="1" applyFont="1" applyFill="1" applyBorder="1" applyAlignment="1" applyProtection="1">
      <alignment horizontal="right" wrapText="1"/>
    </xf>
    <xf numFmtId="0" fontId="1" fillId="0" borderId="25" xfId="0" applyNumberFormat="1" applyFont="1" applyFill="1" applyBorder="1" applyAlignment="1" applyProtection="1">
      <alignment horizontal="right" wrapText="1"/>
    </xf>
    <xf numFmtId="5" fontId="5" fillId="0" borderId="38" xfId="0" applyNumberFormat="1" applyFont="1" applyFill="1" applyBorder="1" applyAlignment="1" applyProtection="1">
      <alignment horizontal="right"/>
    </xf>
    <xf numFmtId="5" fontId="5" fillId="0" borderId="25" xfId="0" applyNumberFormat="1" applyFont="1" applyFill="1" applyBorder="1" applyAlignment="1" applyProtection="1">
      <alignment horizontal="right"/>
    </xf>
    <xf numFmtId="164" fontId="7" fillId="0" borderId="40" xfId="0" applyNumberFormat="1" applyFont="1" applyBorder="1" applyAlignment="1">
      <alignment horizontal="left"/>
    </xf>
    <xf numFmtId="0" fontId="5" fillId="0" borderId="25" xfId="0" applyNumberFormat="1" applyFont="1" applyFill="1" applyBorder="1" applyAlignment="1" applyProtection="1"/>
    <xf numFmtId="0" fontId="1" fillId="0" borderId="25" xfId="0" applyNumberFormat="1" applyFont="1" applyFill="1" applyBorder="1" applyAlignment="1" applyProtection="1">
      <alignment horizontal="right"/>
      <protection locked="0"/>
    </xf>
    <xf numFmtId="0" fontId="1" fillId="0" borderId="25" xfId="0" quotePrefix="1" applyNumberFormat="1" applyFont="1" applyFill="1" applyBorder="1" applyAlignment="1" applyProtection="1">
      <alignment horizontal="right"/>
    </xf>
    <xf numFmtId="0" fontId="1" fillId="0" borderId="25" xfId="0" applyFont="1" applyBorder="1" applyAlignment="1">
      <alignment horizontal="right"/>
    </xf>
    <xf numFmtId="0" fontId="37" fillId="0" borderId="38" xfId="0" applyNumberFormat="1" applyFont="1" applyFill="1" applyBorder="1" applyAlignment="1" applyProtection="1"/>
    <xf numFmtId="5" fontId="5" fillId="0" borderId="40" xfId="0" applyNumberFormat="1" applyFont="1" applyFill="1" applyBorder="1" applyAlignment="1" applyProtection="1">
      <alignment horizontal="right"/>
    </xf>
    <xf numFmtId="0" fontId="4" fillId="0" borderId="25" xfId="0" applyNumberFormat="1" applyFont="1" applyFill="1" applyBorder="1" applyAlignment="1" applyProtection="1">
      <alignment horizontal="right"/>
      <protection locked="0"/>
    </xf>
    <xf numFmtId="0" fontId="16" fillId="0" borderId="25" xfId="0" applyNumberFormat="1" applyFont="1" applyFill="1" applyBorder="1" applyAlignment="1" applyProtection="1">
      <alignment horizontal="right" wrapText="1"/>
    </xf>
    <xf numFmtId="164" fontId="7" fillId="0" borderId="38" xfId="0" applyNumberFormat="1" applyFont="1" applyBorder="1" applyAlignment="1">
      <alignment horizontal="left"/>
    </xf>
    <xf numFmtId="164" fontId="7" fillId="0" borderId="29" xfId="0" applyNumberFormat="1" applyFont="1" applyBorder="1" applyAlignment="1">
      <alignment horizontal="left"/>
    </xf>
    <xf numFmtId="164" fontId="7" fillId="0" borderId="18" xfId="0" applyNumberFormat="1" applyFont="1" applyBorder="1" applyAlignment="1">
      <alignment horizontal="left"/>
    </xf>
    <xf numFmtId="0" fontId="17" fillId="0" borderId="31" xfId="0" applyNumberFormat="1" applyFont="1" applyFill="1" applyBorder="1" applyAlignment="1" applyProtection="1">
      <alignment horizontal="left"/>
    </xf>
    <xf numFmtId="0" fontId="17" fillId="0" borderId="32" xfId="0" applyNumberFormat="1" applyFont="1" applyFill="1" applyBorder="1" applyAlignment="1" applyProtection="1">
      <alignment horizontal="left"/>
    </xf>
    <xf numFmtId="0" fontId="1" fillId="0" borderId="33" xfId="0" applyNumberFormat="1" applyFont="1" applyFill="1" applyBorder="1" applyAlignment="1" applyProtection="1">
      <alignment horizontal="center"/>
    </xf>
    <xf numFmtId="0" fontId="4" fillId="0" borderId="18" xfId="0" applyNumberFormat="1" applyFont="1" applyFill="1" applyBorder="1" applyAlignment="1" applyProtection="1"/>
    <xf numFmtId="166" fontId="4" fillId="0" borderId="18" xfId="2" applyNumberFormat="1" applyFont="1" applyBorder="1" applyProtection="1">
      <protection hidden="1"/>
    </xf>
    <xf numFmtId="0" fontId="4" fillId="0" borderId="18" xfId="0" applyNumberFormat="1" applyFont="1" applyFill="1" applyBorder="1" applyAlignment="1" applyProtection="1">
      <alignment horizontal="right"/>
    </xf>
    <xf numFmtId="0" fontId="3" fillId="0" borderId="18" xfId="0" applyNumberFormat="1" applyFont="1" applyFill="1" applyBorder="1" applyAlignment="1" applyProtection="1">
      <alignment horizontal="right" vertical="top"/>
    </xf>
    <xf numFmtId="164" fontId="10" fillId="0" borderId="18" xfId="0" applyNumberFormat="1" applyFont="1" applyBorder="1" applyAlignment="1">
      <alignment horizontal="right"/>
    </xf>
    <xf numFmtId="0" fontId="17" fillId="0" borderId="0" xfId="0" applyNumberFormat="1" applyFont="1" applyFill="1" applyBorder="1" applyAlignment="1" applyProtection="1">
      <alignment horizontal="left"/>
    </xf>
    <xf numFmtId="0" fontId="3" fillId="0" borderId="18" xfId="0" applyNumberFormat="1" applyFont="1" applyFill="1" applyBorder="1" applyAlignment="1" applyProtection="1">
      <alignment horizontal="center" vertical="top"/>
    </xf>
    <xf numFmtId="166" fontId="5" fillId="0" borderId="0" xfId="2" applyNumberFormat="1" applyFont="1" applyAlignment="1" applyProtection="1">
      <alignment vertical="center"/>
      <protection hidden="1"/>
    </xf>
    <xf numFmtId="166" fontId="47" fillId="8" borderId="43" xfId="2" applyNumberFormat="1" applyFont="1" applyFill="1" applyBorder="1" applyAlignment="1" applyProtection="1">
      <alignment vertical="center"/>
      <protection hidden="1"/>
    </xf>
    <xf numFmtId="166" fontId="47" fillId="9" borderId="42" xfId="2" applyNumberFormat="1" applyFont="1" applyFill="1" applyBorder="1" applyAlignment="1" applyProtection="1">
      <alignment vertical="center"/>
      <protection hidden="1"/>
    </xf>
    <xf numFmtId="166" fontId="47" fillId="8" borderId="42" xfId="2" applyNumberFormat="1" applyFont="1" applyFill="1" applyBorder="1" applyAlignment="1" applyProtection="1">
      <alignment vertical="center"/>
      <protection hidden="1"/>
    </xf>
    <xf numFmtId="166" fontId="4" fillId="2" borderId="0" xfId="0" applyNumberFormat="1" applyFont="1" applyFill="1" applyBorder="1" applyProtection="1">
      <protection hidden="1"/>
    </xf>
    <xf numFmtId="166" fontId="4" fillId="2" borderId="10" xfId="0" applyNumberFormat="1" applyFont="1" applyFill="1" applyBorder="1" applyProtection="1">
      <protection hidden="1"/>
    </xf>
    <xf numFmtId="166" fontId="19" fillId="0" borderId="1" xfId="0" applyNumberFormat="1" applyFont="1" applyBorder="1" applyProtection="1">
      <protection hidden="1"/>
    </xf>
    <xf numFmtId="166" fontId="19" fillId="0" borderId="12" xfId="0" applyNumberFormat="1" applyFont="1" applyBorder="1" applyProtection="1">
      <protection hidden="1"/>
    </xf>
    <xf numFmtId="166" fontId="4" fillId="0" borderId="10" xfId="0" applyNumberFormat="1" applyFont="1" applyBorder="1" applyProtection="1">
      <protection hidden="1"/>
    </xf>
    <xf numFmtId="166" fontId="4" fillId="0" borderId="2" xfId="0" applyNumberFormat="1" applyFont="1" applyBorder="1" applyProtection="1">
      <protection hidden="1"/>
    </xf>
    <xf numFmtId="166" fontId="4" fillId="0" borderId="13" xfId="0" applyNumberFormat="1" applyFont="1" applyBorder="1" applyProtection="1">
      <protection hidden="1"/>
    </xf>
    <xf numFmtId="166" fontId="4" fillId="0" borderId="2" xfId="1" applyNumberFormat="1" applyFont="1" applyBorder="1" applyProtection="1">
      <protection hidden="1"/>
    </xf>
    <xf numFmtId="166" fontId="4" fillId="0" borderId="13" xfId="1" applyNumberFormat="1" applyFont="1" applyBorder="1" applyProtection="1">
      <protection hidden="1"/>
    </xf>
    <xf numFmtId="0" fontId="1" fillId="0" borderId="0" xfId="1" applyNumberFormat="1" applyFont="1" applyBorder="1" applyAlignment="1" applyProtection="1">
      <alignment horizontal="center" vertical="center"/>
      <protection hidden="1"/>
    </xf>
    <xf numFmtId="0" fontId="1" fillId="0" borderId="10" xfId="1" applyNumberFormat="1" applyFont="1" applyBorder="1" applyAlignment="1" applyProtection="1">
      <alignment horizontal="center" vertical="center"/>
      <protection hidden="1"/>
    </xf>
    <xf numFmtId="166" fontId="4" fillId="0" borderId="10" xfId="2" applyNumberFormat="1" applyFont="1" applyBorder="1" applyProtection="1">
      <protection hidden="1"/>
    </xf>
    <xf numFmtId="166" fontId="4" fillId="0" borderId="10" xfId="1" applyNumberFormat="1" applyFont="1" applyBorder="1" applyProtection="1">
      <protection hidden="1"/>
    </xf>
    <xf numFmtId="43" fontId="4" fillId="0" borderId="0" xfId="1" applyFont="1" applyBorder="1" applyProtection="1">
      <protection hidden="1"/>
    </xf>
    <xf numFmtId="164" fontId="8" fillId="0" borderId="10" xfId="0" applyNumberFormat="1" applyFont="1" applyBorder="1" applyProtection="1">
      <protection hidden="1"/>
    </xf>
    <xf numFmtId="166" fontId="9" fillId="0" borderId="34" xfId="2" applyNumberFormat="1" applyFont="1" applyBorder="1" applyProtection="1">
      <protection hidden="1"/>
    </xf>
    <xf numFmtId="0" fontId="50" fillId="8" borderId="16" xfId="0" applyNumberFormat="1" applyFont="1" applyFill="1" applyBorder="1" applyAlignment="1" applyProtection="1">
      <alignment horizontal="right"/>
      <protection locked="0"/>
    </xf>
    <xf numFmtId="43" fontId="50" fillId="8" borderId="43" xfId="1" applyNumberFormat="1" applyFont="1" applyFill="1" applyBorder="1" applyProtection="1">
      <protection locked="0"/>
    </xf>
    <xf numFmtId="0" fontId="47" fillId="9" borderId="44" xfId="0" applyNumberFormat="1" applyFont="1" applyFill="1" applyBorder="1" applyAlignment="1" applyProtection="1">
      <alignment horizontal="right"/>
      <protection locked="0"/>
    </xf>
    <xf numFmtId="43" fontId="47" fillId="9" borderId="42" xfId="1" applyNumberFormat="1" applyFont="1" applyFill="1" applyBorder="1" applyProtection="1">
      <protection locked="0"/>
    </xf>
    <xf numFmtId="0" fontId="47" fillId="8" borderId="44" xfId="0" applyNumberFormat="1" applyFont="1" applyFill="1" applyBorder="1" applyAlignment="1" applyProtection="1">
      <alignment horizontal="right"/>
      <protection locked="0"/>
    </xf>
    <xf numFmtId="43" fontId="47" fillId="8" borderId="42" xfId="1" applyNumberFormat="1" applyFont="1" applyFill="1" applyBorder="1" applyProtection="1">
      <protection locked="0"/>
    </xf>
    <xf numFmtId="44" fontId="50" fillId="8" borderId="43" xfId="1" applyNumberFormat="1" applyFont="1" applyFill="1" applyBorder="1" applyProtection="1">
      <protection locked="0"/>
    </xf>
    <xf numFmtId="44" fontId="50" fillId="9" borderId="42" xfId="1" applyNumberFormat="1" applyFont="1" applyFill="1" applyBorder="1" applyProtection="1">
      <protection locked="0"/>
    </xf>
    <xf numFmtId="44" fontId="50" fillId="8" borderId="42" xfId="1" applyNumberFormat="1" applyFont="1" applyFill="1" applyBorder="1" applyProtection="1">
      <protection locked="0"/>
    </xf>
    <xf numFmtId="0" fontId="46" fillId="8" borderId="16" xfId="0" applyNumberFormat="1" applyFont="1" applyFill="1" applyBorder="1" applyAlignment="1" applyProtection="1">
      <alignment horizontal="right"/>
      <protection locked="0"/>
    </xf>
    <xf numFmtId="44" fontId="46" fillId="8" borderId="43" xfId="1" applyNumberFormat="1" applyFont="1" applyFill="1" applyBorder="1" applyProtection="1">
      <protection locked="0"/>
    </xf>
    <xf numFmtId="0" fontId="46" fillId="9" borderId="44" xfId="0" applyNumberFormat="1" applyFont="1" applyFill="1" applyBorder="1" applyAlignment="1" applyProtection="1">
      <alignment horizontal="right"/>
      <protection locked="0"/>
    </xf>
    <xf numFmtId="44" fontId="46" fillId="9" borderId="42" xfId="1" applyNumberFormat="1" applyFont="1" applyFill="1" applyBorder="1" applyProtection="1">
      <protection locked="0"/>
    </xf>
    <xf numFmtId="0" fontId="46" fillId="8" borderId="44" xfId="0" applyNumberFormat="1" applyFont="1" applyFill="1" applyBorder="1" applyAlignment="1" applyProtection="1">
      <alignment horizontal="right"/>
      <protection locked="0"/>
    </xf>
    <xf numFmtId="44" fontId="46" fillId="8" borderId="42" xfId="1" applyNumberFormat="1" applyFont="1" applyFill="1" applyBorder="1" applyProtection="1">
      <protection locked="0"/>
    </xf>
    <xf numFmtId="44" fontId="47" fillId="9" borderId="42" xfId="1" applyNumberFormat="1" applyFont="1" applyFill="1" applyBorder="1" applyProtection="1">
      <protection locked="0"/>
    </xf>
    <xf numFmtId="44" fontId="47" fillId="8" borderId="42" xfId="1" applyNumberFormat="1" applyFont="1" applyFill="1" applyBorder="1" applyProtection="1">
      <protection locked="0"/>
    </xf>
    <xf numFmtId="43" fontId="50" fillId="9" borderId="42" xfId="1" applyNumberFormat="1" applyFont="1" applyFill="1" applyBorder="1" applyProtection="1">
      <protection locked="0"/>
    </xf>
    <xf numFmtId="43" fontId="50" fillId="8" borderId="42" xfId="1" applyNumberFormat="1" applyFont="1" applyFill="1" applyBorder="1" applyProtection="1">
      <protection locked="0"/>
    </xf>
    <xf numFmtId="44" fontId="50" fillId="8" borderId="43" xfId="2" applyNumberFormat="1" applyFont="1" applyFill="1" applyBorder="1" applyProtection="1">
      <protection locked="0"/>
    </xf>
    <xf numFmtId="44" fontId="47" fillId="9" borderId="42" xfId="2" applyNumberFormat="1" applyFont="1" applyFill="1" applyBorder="1" applyProtection="1">
      <protection locked="0"/>
    </xf>
    <xf numFmtId="44" fontId="47" fillId="8" borderId="42" xfId="2" applyNumberFormat="1" applyFont="1" applyFill="1" applyBorder="1" applyProtection="1">
      <protection locked="0"/>
    </xf>
    <xf numFmtId="0" fontId="47" fillId="8" borderId="16" xfId="0" applyNumberFormat="1" applyFont="1" applyFill="1" applyBorder="1" applyAlignment="1" applyProtection="1">
      <alignment vertical="center"/>
      <protection locked="0"/>
    </xf>
    <xf numFmtId="0" fontId="47" fillId="8" borderId="43" xfId="0" applyNumberFormat="1" applyFont="1" applyFill="1" applyBorder="1" applyAlignment="1" applyProtection="1">
      <alignment vertical="center"/>
      <protection locked="0"/>
    </xf>
    <xf numFmtId="166" fontId="47" fillId="8" borderId="43" xfId="2" applyNumberFormat="1" applyFont="1" applyFill="1" applyBorder="1" applyAlignment="1" applyProtection="1">
      <alignment vertical="center"/>
      <protection locked="0"/>
    </xf>
    <xf numFmtId="0" fontId="47" fillId="8" borderId="43" xfId="2" applyNumberFormat="1" applyFont="1" applyFill="1" applyBorder="1" applyAlignment="1" applyProtection="1">
      <alignment horizontal="center" vertical="center"/>
      <protection locked="0"/>
    </xf>
    <xf numFmtId="0" fontId="47" fillId="9" borderId="44" xfId="0" applyNumberFormat="1" applyFont="1" applyFill="1" applyBorder="1" applyAlignment="1" applyProtection="1">
      <alignment vertical="center"/>
      <protection locked="0"/>
    </xf>
    <xf numFmtId="0" fontId="47" fillId="9" borderId="42" xfId="0" applyNumberFormat="1" applyFont="1" applyFill="1" applyBorder="1" applyAlignment="1" applyProtection="1">
      <alignment vertical="center"/>
      <protection locked="0"/>
    </xf>
    <xf numFmtId="166" fontId="47" fillId="9" borderId="42" xfId="2" applyNumberFormat="1" applyFont="1" applyFill="1" applyBorder="1" applyAlignment="1" applyProtection="1">
      <alignment vertical="center"/>
      <protection locked="0"/>
    </xf>
    <xf numFmtId="0" fontId="47" fillId="9" borderId="42" xfId="2" applyNumberFormat="1" applyFont="1" applyFill="1" applyBorder="1" applyAlignment="1" applyProtection="1">
      <alignment horizontal="center" vertical="center"/>
      <protection locked="0"/>
    </xf>
    <xf numFmtId="0" fontId="47" fillId="8" borderId="44" xfId="0" applyNumberFormat="1" applyFont="1" applyFill="1" applyBorder="1" applyAlignment="1" applyProtection="1">
      <alignment vertical="center"/>
      <protection locked="0"/>
    </xf>
    <xf numFmtId="0" fontId="47" fillId="8" borderId="42" xfId="0" applyNumberFormat="1" applyFont="1" applyFill="1" applyBorder="1" applyAlignment="1" applyProtection="1">
      <alignment vertical="center"/>
      <protection locked="0"/>
    </xf>
    <xf numFmtId="166" fontId="47" fillId="8" borderId="42" xfId="2" applyNumberFormat="1" applyFont="1" applyFill="1" applyBorder="1" applyAlignment="1" applyProtection="1">
      <alignment vertical="center"/>
      <protection locked="0"/>
    </xf>
    <xf numFmtId="0" fontId="47" fillId="8" borderId="42" xfId="2" applyNumberFormat="1" applyFont="1" applyFill="1" applyBorder="1" applyAlignment="1" applyProtection="1">
      <alignment horizontal="center" vertical="center"/>
      <protection locked="0"/>
    </xf>
    <xf numFmtId="0" fontId="46" fillId="8" borderId="16" xfId="0" applyFont="1" applyFill="1" applyBorder="1" applyAlignment="1" applyProtection="1">
      <alignment vertical="center"/>
      <protection locked="0"/>
    </xf>
    <xf numFmtId="0" fontId="46" fillId="8" borderId="43" xfId="0" applyFont="1" applyFill="1" applyBorder="1" applyAlignment="1" applyProtection="1">
      <alignment vertical="center"/>
      <protection locked="0"/>
    </xf>
    <xf numFmtId="166" fontId="46" fillId="8" borderId="43" xfId="2" applyNumberFormat="1" applyFont="1" applyFill="1" applyBorder="1" applyAlignment="1" applyProtection="1">
      <alignment vertical="center"/>
      <protection locked="0"/>
    </xf>
    <xf numFmtId="0" fontId="46" fillId="8" borderId="43" xfId="0" applyFont="1" applyFill="1" applyBorder="1" applyAlignment="1" applyProtection="1">
      <alignment horizontal="center" vertical="center"/>
      <protection locked="0"/>
    </xf>
    <xf numFmtId="0" fontId="46" fillId="9" borderId="44" xfId="0" applyFont="1" applyFill="1" applyBorder="1" applyAlignment="1" applyProtection="1">
      <alignment vertical="center"/>
      <protection locked="0"/>
    </xf>
    <xf numFmtId="0" fontId="46" fillId="9" borderId="42" xfId="0" applyFont="1" applyFill="1" applyBorder="1" applyAlignment="1" applyProtection="1">
      <alignment vertical="center"/>
      <protection locked="0"/>
    </xf>
    <xf numFmtId="166" fontId="46" fillId="9" borderId="42" xfId="2" applyNumberFormat="1" applyFont="1" applyFill="1" applyBorder="1" applyAlignment="1" applyProtection="1">
      <alignment vertical="center"/>
      <protection locked="0"/>
    </xf>
    <xf numFmtId="0" fontId="46" fillId="9" borderId="42" xfId="0" applyFont="1" applyFill="1" applyBorder="1" applyAlignment="1" applyProtection="1">
      <alignment horizontal="center" vertical="center"/>
      <protection locked="0"/>
    </xf>
    <xf numFmtId="0" fontId="46" fillId="8" borderId="44" xfId="0" applyFont="1" applyFill="1" applyBorder="1" applyAlignment="1" applyProtection="1">
      <alignment vertical="center"/>
      <protection locked="0"/>
    </xf>
    <xf numFmtId="0" fontId="46" fillId="8" borderId="42" xfId="0" applyFont="1" applyFill="1" applyBorder="1" applyAlignment="1" applyProtection="1">
      <alignment vertical="center"/>
      <protection locked="0"/>
    </xf>
    <xf numFmtId="166" fontId="46" fillId="8" borderId="42" xfId="2" applyNumberFormat="1" applyFont="1" applyFill="1" applyBorder="1" applyAlignment="1" applyProtection="1">
      <alignment vertical="center"/>
      <protection locked="0"/>
    </xf>
    <xf numFmtId="0" fontId="46" fillId="8" borderId="42" xfId="0" applyFont="1" applyFill="1" applyBorder="1" applyAlignment="1" applyProtection="1">
      <alignment horizontal="center" vertical="center"/>
      <protection locked="0"/>
    </xf>
    <xf numFmtId="166" fontId="5" fillId="0" borderId="0" xfId="0" applyNumberFormat="1" applyFont="1" applyFill="1" applyBorder="1" applyAlignment="1" applyProtection="1"/>
    <xf numFmtId="166" fontId="4" fillId="0" borderId="18" xfId="0" applyNumberFormat="1" applyFont="1" applyFill="1" applyBorder="1" applyAlignment="1" applyProtection="1"/>
    <xf numFmtId="0" fontId="50" fillId="8" borderId="16" xfId="0" applyNumberFormat="1" applyFont="1" applyFill="1" applyBorder="1" applyAlignment="1">
      <alignment horizontal="right"/>
    </xf>
    <xf numFmtId="0" fontId="47" fillId="9" borderId="44" xfId="0" applyNumberFormat="1" applyFont="1" applyFill="1" applyBorder="1" applyAlignment="1">
      <alignment horizontal="right"/>
    </xf>
    <xf numFmtId="1" fontId="4" fillId="0" borderId="26" xfId="2" applyNumberFormat="1" applyFont="1" applyBorder="1" applyAlignment="1" applyProtection="1">
      <alignment horizontal="right"/>
      <protection locked="0"/>
    </xf>
    <xf numFmtId="1" fontId="4" fillId="0" borderId="26" xfId="1" applyNumberFormat="1" applyFont="1" applyBorder="1" applyAlignment="1" applyProtection="1">
      <alignment horizontal="right"/>
      <protection locked="0"/>
    </xf>
    <xf numFmtId="1" fontId="4" fillId="0" borderId="39" xfId="1" applyNumberFormat="1" applyFont="1" applyBorder="1" applyAlignment="1" applyProtection="1">
      <alignment horizontal="right"/>
      <protection hidden="1"/>
    </xf>
    <xf numFmtId="1" fontId="4" fillId="0" borderId="0" xfId="0" applyNumberFormat="1" applyFont="1" applyBorder="1" applyAlignment="1" applyProtection="1">
      <alignment horizontal="right"/>
      <protection hidden="1"/>
    </xf>
    <xf numFmtId="1" fontId="4" fillId="0" borderId="0" xfId="0" applyNumberFormat="1" applyFont="1" applyFill="1" applyBorder="1" applyAlignment="1" applyProtection="1">
      <alignment horizontal="right"/>
      <protection hidden="1"/>
    </xf>
    <xf numFmtId="1" fontId="4" fillId="0" borderId="26" xfId="0" applyNumberFormat="1" applyFont="1" applyFill="1" applyBorder="1" applyAlignment="1" applyProtection="1">
      <alignment horizontal="right"/>
      <protection hidden="1"/>
    </xf>
    <xf numFmtId="1" fontId="4" fillId="0" borderId="26" xfId="1" applyNumberFormat="1" applyFont="1" applyFill="1" applyBorder="1" applyAlignment="1" applyProtection="1">
      <alignment horizontal="right"/>
      <protection locked="0"/>
    </xf>
    <xf numFmtId="1" fontId="4" fillId="0" borderId="26" xfId="0" applyNumberFormat="1" applyFont="1" applyBorder="1" applyAlignment="1" applyProtection="1">
      <alignment horizontal="right"/>
      <protection hidden="1"/>
    </xf>
    <xf numFmtId="1" fontId="5" fillId="0" borderId="41" xfId="0" applyNumberFormat="1" applyFont="1" applyFill="1" applyBorder="1" applyAlignment="1" applyProtection="1">
      <alignment horizontal="right"/>
      <protection hidden="1"/>
    </xf>
    <xf numFmtId="1" fontId="4" fillId="0" borderId="26" xfId="1" applyNumberFormat="1" applyFont="1" applyBorder="1" applyAlignment="1" applyProtection="1">
      <alignment horizontal="right"/>
      <protection hidden="1"/>
    </xf>
    <xf numFmtId="1" fontId="5" fillId="0" borderId="30" xfId="0" applyNumberFormat="1" applyFont="1" applyFill="1" applyBorder="1" applyAlignment="1" applyProtection="1">
      <alignment horizontal="right"/>
      <protection hidden="1"/>
    </xf>
    <xf numFmtId="1" fontId="4" fillId="0" borderId="18" xfId="0" applyNumberFormat="1" applyFont="1" applyBorder="1" applyAlignment="1" applyProtection="1">
      <alignment horizontal="right"/>
      <protection hidden="1"/>
    </xf>
    <xf numFmtId="1" fontId="4" fillId="0" borderId="26" xfId="0" applyNumberFormat="1" applyFont="1" applyFill="1" applyBorder="1" applyAlignment="1" applyProtection="1">
      <alignment horizontal="center"/>
      <protection hidden="1"/>
    </xf>
    <xf numFmtId="1" fontId="4" fillId="0" borderId="33" xfId="0" applyNumberFormat="1" applyFont="1" applyFill="1" applyBorder="1" applyAlignment="1" applyProtection="1">
      <alignment horizontal="center"/>
      <protection hidden="1"/>
    </xf>
    <xf numFmtId="1" fontId="4" fillId="0" borderId="41" xfId="1" applyNumberFormat="1" applyFont="1" applyBorder="1" applyAlignment="1" applyProtection="1">
      <alignment horizontal="right"/>
      <protection hidden="1"/>
    </xf>
    <xf numFmtId="1" fontId="4" fillId="0" borderId="39" xfId="0" applyNumberFormat="1" applyFont="1" applyFill="1" applyBorder="1" applyAlignment="1" applyProtection="1">
      <alignment horizontal="right"/>
      <protection hidden="1"/>
    </xf>
    <xf numFmtId="1" fontId="5" fillId="0" borderId="39" xfId="0" applyNumberFormat="1" applyFont="1" applyFill="1" applyBorder="1" applyAlignment="1" applyProtection="1">
      <alignment horizontal="right"/>
      <protection hidden="1"/>
    </xf>
    <xf numFmtId="1" fontId="4" fillId="0" borderId="26" xfId="0" applyNumberFormat="1" applyFont="1" applyFill="1" applyBorder="1" applyAlignment="1" applyProtection="1">
      <alignment horizontal="right"/>
    </xf>
    <xf numFmtId="1" fontId="5" fillId="0" borderId="39" xfId="0" applyNumberFormat="1" applyFont="1" applyFill="1" applyBorder="1" applyAlignment="1" applyProtection="1">
      <alignment horizontal="right"/>
    </xf>
    <xf numFmtId="164" fontId="1" fillId="0" borderId="45" xfId="0" applyNumberFormat="1" applyFont="1" applyBorder="1" applyAlignment="1">
      <alignment horizontal="center"/>
    </xf>
    <xf numFmtId="164" fontId="4" fillId="0" borderId="46" xfId="0" applyNumberFormat="1" applyFont="1" applyBorder="1" applyAlignment="1">
      <alignment horizontal="right"/>
    </xf>
    <xf numFmtId="44" fontId="4" fillId="0" borderId="46" xfId="2" applyFont="1" applyBorder="1" applyAlignment="1" applyProtection="1">
      <alignment horizontal="right"/>
      <protection locked="0"/>
    </xf>
    <xf numFmtId="1" fontId="4" fillId="0" borderId="46" xfId="2" applyNumberFormat="1" applyFont="1" applyBorder="1" applyAlignment="1" applyProtection="1">
      <alignment horizontal="right"/>
      <protection locked="0"/>
    </xf>
    <xf numFmtId="1" fontId="4" fillId="0" borderId="46" xfId="1" applyNumberFormat="1" applyFont="1" applyBorder="1" applyAlignment="1" applyProtection="1">
      <alignment horizontal="right"/>
      <protection locked="0"/>
    </xf>
    <xf numFmtId="1" fontId="4" fillId="0" borderId="47" xfId="1" applyNumberFormat="1" applyFont="1" applyBorder="1" applyAlignment="1" applyProtection="1">
      <alignment horizontal="right"/>
      <protection hidden="1"/>
    </xf>
    <xf numFmtId="1" fontId="4" fillId="0" borderId="46" xfId="0" applyNumberFormat="1" applyFont="1" applyBorder="1" applyAlignment="1" applyProtection="1">
      <alignment horizontal="right"/>
      <protection hidden="1"/>
    </xf>
    <xf numFmtId="1" fontId="4" fillId="0" borderId="46" xfId="1" applyNumberFormat="1" applyFont="1" applyFill="1" applyBorder="1" applyAlignment="1" applyProtection="1">
      <alignment horizontal="right"/>
      <protection locked="0"/>
    </xf>
    <xf numFmtId="1" fontId="5" fillId="0" borderId="48" xfId="0" applyNumberFormat="1" applyFont="1" applyFill="1" applyBorder="1" applyAlignment="1" applyProtection="1">
      <alignment horizontal="right"/>
      <protection hidden="1"/>
    </xf>
    <xf numFmtId="1" fontId="4" fillId="0" borderId="46" xfId="1" applyNumberFormat="1" applyFont="1" applyBorder="1" applyAlignment="1" applyProtection="1">
      <alignment horizontal="right"/>
      <protection hidden="1"/>
    </xf>
    <xf numFmtId="1" fontId="5" fillId="0" borderId="49" xfId="0" applyNumberFormat="1" applyFont="1" applyFill="1" applyBorder="1" applyAlignment="1" applyProtection="1">
      <alignment horizontal="right"/>
      <protection hidden="1"/>
    </xf>
    <xf numFmtId="0" fontId="0" fillId="0" borderId="50" xfId="0" applyBorder="1" applyAlignment="1" applyProtection="1">
      <alignment horizontal="center"/>
      <protection locked="0"/>
    </xf>
    <xf numFmtId="0" fontId="0" fillId="0" borderId="10" xfId="0" applyBorder="1" applyAlignment="1" applyProtection="1">
      <alignment horizontal="right"/>
      <protection locked="0"/>
    </xf>
    <xf numFmtId="44" fontId="4" fillId="0" borderId="10" xfId="2" applyFont="1" applyBorder="1" applyAlignment="1" applyProtection="1">
      <alignment horizontal="right"/>
      <protection locked="0"/>
    </xf>
    <xf numFmtId="1" fontId="4" fillId="0" borderId="10" xfId="2" applyNumberFormat="1" applyFont="1" applyBorder="1" applyAlignment="1" applyProtection="1">
      <alignment horizontal="right"/>
      <protection locked="0"/>
    </xf>
    <xf numFmtId="1" fontId="4" fillId="0" borderId="10" xfId="1" applyNumberFormat="1" applyFont="1" applyBorder="1" applyAlignment="1" applyProtection="1">
      <alignment horizontal="right"/>
      <protection locked="0"/>
    </xf>
    <xf numFmtId="1" fontId="4" fillId="0" borderId="13" xfId="1" applyNumberFormat="1" applyFont="1" applyBorder="1" applyAlignment="1" applyProtection="1">
      <alignment horizontal="right"/>
      <protection hidden="1"/>
    </xf>
    <xf numFmtId="1" fontId="4" fillId="0" borderId="10" xfId="0" applyNumberFormat="1" applyFont="1" applyBorder="1" applyAlignment="1" applyProtection="1">
      <alignment horizontal="right"/>
      <protection hidden="1"/>
    </xf>
    <xf numFmtId="1" fontId="4" fillId="0" borderId="10" xfId="1" applyNumberFormat="1" applyFont="1" applyFill="1" applyBorder="1" applyAlignment="1" applyProtection="1">
      <alignment horizontal="right"/>
      <protection locked="0"/>
    </xf>
    <xf numFmtId="1" fontId="5" fillId="0" borderId="37" xfId="0" applyNumberFormat="1" applyFont="1" applyFill="1" applyBorder="1" applyAlignment="1" applyProtection="1">
      <alignment horizontal="right"/>
      <protection hidden="1"/>
    </xf>
    <xf numFmtId="1" fontId="4" fillId="0" borderId="10" xfId="1" applyNumberFormat="1" applyFont="1" applyBorder="1" applyAlignment="1" applyProtection="1">
      <alignment horizontal="right"/>
      <protection hidden="1"/>
    </xf>
    <xf numFmtId="1" fontId="5" fillId="0" borderId="19" xfId="0" applyNumberFormat="1" applyFont="1" applyFill="1" applyBorder="1" applyAlignment="1" applyProtection="1">
      <alignment horizontal="right"/>
      <protection hidden="1"/>
    </xf>
    <xf numFmtId="0" fontId="1" fillId="0" borderId="50" xfId="0" applyNumberFormat="1" applyFont="1" applyFill="1" applyBorder="1" applyAlignment="1" applyProtection="1">
      <alignment horizontal="center"/>
    </xf>
    <xf numFmtId="0" fontId="4" fillId="0" borderId="10" xfId="0" applyNumberFormat="1" applyFont="1" applyFill="1" applyBorder="1" applyAlignment="1" applyProtection="1">
      <alignment horizontal="right"/>
    </xf>
    <xf numFmtId="44" fontId="4" fillId="0" borderId="10" xfId="2" applyFont="1" applyFill="1" applyBorder="1" applyAlignment="1" applyProtection="1">
      <alignment horizontal="right"/>
      <protection locked="0"/>
    </xf>
    <xf numFmtId="1" fontId="4" fillId="0" borderId="10" xfId="0" applyNumberFormat="1" applyFont="1" applyFill="1" applyBorder="1" applyAlignment="1" applyProtection="1">
      <alignment horizontal="right"/>
      <protection hidden="1"/>
    </xf>
    <xf numFmtId="166" fontId="1" fillId="0" borderId="10" xfId="2" applyNumberFormat="1" applyFont="1" applyFill="1" applyBorder="1" applyAlignment="1" applyProtection="1">
      <alignment horizontal="right"/>
      <protection locked="0"/>
    </xf>
    <xf numFmtId="166" fontId="4" fillId="0" borderId="10" xfId="2" applyNumberFormat="1" applyFont="1" applyBorder="1" applyAlignment="1" applyProtection="1">
      <alignment horizontal="right"/>
      <protection locked="0"/>
    </xf>
    <xf numFmtId="166" fontId="5" fillId="0" borderId="13" xfId="1" applyNumberFormat="1" applyFont="1" applyBorder="1" applyProtection="1">
      <protection hidden="1"/>
    </xf>
    <xf numFmtId="166" fontId="4" fillId="0" borderId="10" xfId="0" applyNumberFormat="1" applyFont="1" applyFill="1" applyBorder="1" applyAlignment="1" applyProtection="1"/>
    <xf numFmtId="166" fontId="5" fillId="0" borderId="10" xfId="0" applyNumberFormat="1" applyFont="1" applyFill="1" applyBorder="1" applyAlignment="1" applyProtection="1">
      <alignment horizontal="left"/>
    </xf>
    <xf numFmtId="166" fontId="0" fillId="0" borderId="10" xfId="2" applyNumberFormat="1" applyFont="1" applyFill="1" applyBorder="1" applyAlignment="1" applyProtection="1">
      <alignment horizontal="right" wrapText="1"/>
      <protection locked="0"/>
    </xf>
    <xf numFmtId="166" fontId="4" fillId="0" borderId="10" xfId="2" applyNumberFormat="1" applyFont="1" applyFill="1" applyBorder="1" applyAlignment="1" applyProtection="1">
      <alignment horizontal="right" wrapText="1"/>
      <protection locked="0"/>
    </xf>
    <xf numFmtId="166" fontId="1" fillId="0" borderId="10" xfId="2" applyNumberFormat="1" applyFont="1" applyFill="1" applyBorder="1" applyAlignment="1" applyProtection="1">
      <alignment horizontal="right" wrapText="1"/>
      <protection locked="0"/>
    </xf>
    <xf numFmtId="166" fontId="4" fillId="0" borderId="13" xfId="2" applyNumberFormat="1" applyFont="1" applyBorder="1" applyProtection="1">
      <protection hidden="1"/>
    </xf>
    <xf numFmtId="166" fontId="4" fillId="0" borderId="10" xfId="2" applyNumberFormat="1" applyFont="1" applyBorder="1" applyAlignment="1" applyProtection="1">
      <alignment horizontal="right" wrapText="1"/>
      <protection locked="0"/>
    </xf>
    <xf numFmtId="166" fontId="5" fillId="0" borderId="37" xfId="0" applyNumberFormat="1" applyFont="1" applyFill="1" applyBorder="1" applyAlignment="1" applyProtection="1">
      <protection hidden="1"/>
    </xf>
    <xf numFmtId="166" fontId="5" fillId="0" borderId="10" xfId="0" applyNumberFormat="1" applyFont="1" applyFill="1" applyBorder="1" applyAlignment="1" applyProtection="1"/>
    <xf numFmtId="166" fontId="1" fillId="0" borderId="10" xfId="2" applyNumberFormat="1" applyFont="1" applyBorder="1" applyAlignment="1" applyProtection="1">
      <alignment horizontal="right"/>
      <protection locked="0"/>
    </xf>
    <xf numFmtId="166" fontId="5" fillId="0" borderId="10" xfId="0" applyNumberFormat="1" applyFont="1" applyFill="1" applyBorder="1" applyAlignment="1" applyProtection="1">
      <alignment horizontal="right"/>
    </xf>
    <xf numFmtId="166" fontId="17" fillId="0" borderId="50" xfId="0" applyNumberFormat="1" applyFont="1" applyFill="1" applyBorder="1" applyAlignment="1" applyProtection="1">
      <alignment horizontal="left"/>
    </xf>
    <xf numFmtId="166" fontId="5" fillId="0" borderId="13" xfId="0" applyNumberFormat="1" applyFont="1" applyFill="1" applyBorder="1" applyAlignment="1" applyProtection="1">
      <alignment horizontal="right"/>
    </xf>
    <xf numFmtId="166" fontId="5" fillId="0" borderId="37" xfId="0" applyNumberFormat="1" applyFont="1" applyFill="1" applyBorder="1" applyAlignment="1" applyProtection="1">
      <alignment horizontal="right"/>
    </xf>
    <xf numFmtId="166" fontId="7" fillId="0" borderId="37" xfId="2" applyNumberFormat="1" applyFont="1" applyBorder="1" applyAlignment="1">
      <alignment horizontal="right"/>
    </xf>
    <xf numFmtId="166" fontId="4" fillId="0" borderId="13" xfId="0" applyNumberFormat="1" applyFont="1" applyFill="1" applyBorder="1" applyAlignment="1" applyProtection="1">
      <protection hidden="1"/>
    </xf>
    <xf numFmtId="166" fontId="7" fillId="0" borderId="19" xfId="0" applyNumberFormat="1" applyFont="1" applyBorder="1" applyAlignment="1">
      <alignment horizontal="left"/>
    </xf>
    <xf numFmtId="1" fontId="4" fillId="0" borderId="45" xfId="0" applyNumberFormat="1" applyFont="1" applyBorder="1" applyAlignment="1" applyProtection="1">
      <alignment horizontal="center"/>
      <protection hidden="1"/>
    </xf>
    <xf numFmtId="1" fontId="4" fillId="0" borderId="48" xfId="1" applyNumberFormat="1" applyFont="1" applyBorder="1" applyAlignment="1" applyProtection="1">
      <alignment horizontal="right"/>
      <protection hidden="1"/>
    </xf>
    <xf numFmtId="1" fontId="4" fillId="0" borderId="47" xfId="0" applyNumberFormat="1" applyFont="1" applyFill="1" applyBorder="1" applyAlignment="1" applyProtection="1">
      <alignment horizontal="right"/>
      <protection hidden="1"/>
    </xf>
    <xf numFmtId="1" fontId="4" fillId="0" borderId="50" xfId="0" applyNumberFormat="1" applyFont="1" applyFill="1" applyBorder="1" applyAlignment="1" applyProtection="1">
      <alignment horizontal="center"/>
      <protection hidden="1"/>
    </xf>
    <xf numFmtId="1" fontId="4" fillId="0" borderId="37" xfId="1" applyNumberFormat="1" applyFont="1" applyBorder="1" applyAlignment="1" applyProtection="1">
      <alignment horizontal="right"/>
      <protection hidden="1"/>
    </xf>
    <xf numFmtId="1" fontId="4" fillId="0" borderId="13" xfId="0" applyNumberFormat="1" applyFont="1" applyFill="1" applyBorder="1" applyAlignment="1" applyProtection="1">
      <alignment horizontal="right"/>
      <protection hidden="1"/>
    </xf>
    <xf numFmtId="166" fontId="4" fillId="0" borderId="10" xfId="2" applyNumberFormat="1" applyFont="1" applyFill="1" applyBorder="1" applyAlignment="1" applyProtection="1">
      <alignment horizontal="right"/>
      <protection locked="0"/>
    </xf>
    <xf numFmtId="166" fontId="5" fillId="0" borderId="13" xfId="2" applyNumberFormat="1" applyFont="1" applyFill="1" applyBorder="1" applyAlignment="1" applyProtection="1">
      <alignment horizontal="right"/>
    </xf>
    <xf numFmtId="166" fontId="16" fillId="0" borderId="10" xfId="2" applyNumberFormat="1" applyFont="1" applyFill="1" applyBorder="1" applyAlignment="1" applyProtection="1">
      <alignment horizontal="right" wrapText="1"/>
      <protection locked="0"/>
    </xf>
    <xf numFmtId="166" fontId="4" fillId="0" borderId="10" xfId="2" applyNumberFormat="1" applyFont="1" applyFill="1" applyBorder="1" applyAlignment="1" applyProtection="1"/>
    <xf numFmtId="166" fontId="5" fillId="0" borderId="10" xfId="2" applyNumberFormat="1" applyFont="1" applyFill="1" applyBorder="1" applyAlignment="1" applyProtection="1">
      <alignment horizontal="right"/>
    </xf>
    <xf numFmtId="166" fontId="5" fillId="0" borderId="13" xfId="0" applyNumberFormat="1" applyFont="1" applyFill="1" applyBorder="1" applyAlignment="1" applyProtection="1">
      <protection hidden="1"/>
    </xf>
    <xf numFmtId="166" fontId="7" fillId="0" borderId="37" xfId="0" applyNumberFormat="1" applyFont="1" applyBorder="1" applyAlignment="1">
      <alignment horizontal="left"/>
    </xf>
    <xf numFmtId="166" fontId="5" fillId="0" borderId="13" xfId="0" applyNumberFormat="1" applyFont="1" applyFill="1" applyBorder="1" applyAlignment="1" applyProtection="1"/>
    <xf numFmtId="1" fontId="4" fillId="0" borderId="46" xfId="0" applyNumberFormat="1" applyFont="1" applyBorder="1" applyAlignment="1" applyProtection="1">
      <alignment horizontal="center"/>
      <protection hidden="1"/>
    </xf>
    <xf numFmtId="1" fontId="5" fillId="0" borderId="47" xfId="0" applyNumberFormat="1" applyFont="1" applyFill="1" applyBorder="1" applyAlignment="1" applyProtection="1">
      <alignment horizontal="right"/>
      <protection hidden="1"/>
    </xf>
    <xf numFmtId="1" fontId="4" fillId="0" borderId="46" xfId="0" applyNumberFormat="1" applyFont="1" applyBorder="1" applyAlignment="1">
      <alignment horizontal="right"/>
    </xf>
    <xf numFmtId="1" fontId="4" fillId="0" borderId="10" xfId="0" applyNumberFormat="1" applyFont="1" applyBorder="1" applyAlignment="1" applyProtection="1">
      <alignment horizontal="center"/>
      <protection hidden="1"/>
    </xf>
    <xf numFmtId="1" fontId="5" fillId="0" borderId="13" xfId="0" applyNumberFormat="1" applyFont="1" applyFill="1" applyBorder="1" applyAlignment="1" applyProtection="1">
      <alignment horizontal="right"/>
      <protection hidden="1"/>
    </xf>
    <xf numFmtId="1" fontId="4" fillId="0" borderId="10" xfId="0" applyNumberFormat="1" applyFont="1" applyBorder="1" applyAlignment="1">
      <alignment horizontal="right"/>
    </xf>
    <xf numFmtId="1" fontId="5" fillId="0" borderId="13" xfId="0" applyNumberFormat="1" applyFont="1" applyFill="1" applyBorder="1" applyAlignment="1" applyProtection="1">
      <alignment horizontal="right"/>
    </xf>
    <xf numFmtId="1" fontId="4" fillId="0" borderId="10" xfId="0" applyNumberFormat="1" applyFont="1" applyFill="1" applyBorder="1" applyAlignment="1" applyProtection="1">
      <alignment horizontal="center"/>
      <protection hidden="1"/>
    </xf>
    <xf numFmtId="1" fontId="4" fillId="0" borderId="10" xfId="0" applyNumberFormat="1" applyFont="1" applyFill="1" applyBorder="1" applyAlignment="1" applyProtection="1">
      <alignment horizontal="right"/>
    </xf>
    <xf numFmtId="0" fontId="46" fillId="10" borderId="42" xfId="0" applyFont="1" applyFill="1" applyBorder="1"/>
    <xf numFmtId="0" fontId="49" fillId="3" borderId="0" xfId="0" applyFont="1" applyFill="1" applyBorder="1"/>
    <xf numFmtId="0" fontId="49" fillId="3" borderId="15" xfId="0" applyFont="1" applyFill="1" applyBorder="1"/>
    <xf numFmtId="0" fontId="46" fillId="10" borderId="16" xfId="0" applyFont="1" applyFill="1" applyBorder="1"/>
    <xf numFmtId="0" fontId="46" fillId="10" borderId="43" xfId="0" applyFont="1" applyFill="1" applyBorder="1"/>
    <xf numFmtId="0" fontId="46" fillId="11" borderId="44" xfId="0" applyFont="1" applyFill="1" applyBorder="1"/>
    <xf numFmtId="0" fontId="46" fillId="11" borderId="42" xfId="0" applyFont="1" applyFill="1" applyBorder="1"/>
    <xf numFmtId="0" fontId="46" fillId="10" borderId="44" xfId="0" applyFont="1" applyFill="1" applyBorder="1"/>
    <xf numFmtId="0" fontId="42" fillId="0" borderId="0" xfId="0" applyNumberFormat="1" applyFont="1" applyFill="1" applyBorder="1" applyAlignment="1" applyProtection="1"/>
    <xf numFmtId="0" fontId="42" fillId="0" borderId="0" xfId="0" applyNumberFormat="1" applyFont="1" applyFill="1" applyBorder="1" applyAlignment="1" applyProtection="1">
      <protection locked="0"/>
    </xf>
    <xf numFmtId="5" fontId="42" fillId="0" borderId="0" xfId="0" applyNumberFormat="1" applyFont="1" applyFill="1" applyBorder="1" applyAlignment="1" applyProtection="1"/>
    <xf numFmtId="0" fontId="37" fillId="0" borderId="0" xfId="0" applyFont="1" applyAlignment="1">
      <alignment horizontal="right" vertical="center"/>
    </xf>
    <xf numFmtId="0" fontId="46" fillId="8" borderId="43" xfId="0" applyFont="1" applyFill="1" applyBorder="1" applyAlignment="1" applyProtection="1">
      <alignment horizontal="center" vertical="center"/>
      <protection hidden="1"/>
    </xf>
    <xf numFmtId="0" fontId="46" fillId="9" borderId="42" xfId="0" applyFont="1" applyFill="1" applyBorder="1" applyAlignment="1" applyProtection="1">
      <alignment horizontal="center" vertical="center"/>
      <protection hidden="1"/>
    </xf>
    <xf numFmtId="0" fontId="46" fillId="8" borderId="42" xfId="0" applyFont="1" applyFill="1" applyBorder="1" applyAlignment="1" applyProtection="1">
      <alignment horizontal="center" vertical="center"/>
      <protection hidden="1"/>
    </xf>
    <xf numFmtId="14" fontId="46" fillId="8" borderId="43" xfId="0" applyNumberFormat="1" applyFont="1" applyFill="1" applyBorder="1" applyAlignment="1" applyProtection="1">
      <alignment horizontal="center" vertical="center"/>
      <protection hidden="1"/>
    </xf>
    <xf numFmtId="14" fontId="46" fillId="9" borderId="42" xfId="0" applyNumberFormat="1" applyFont="1" applyFill="1" applyBorder="1" applyAlignment="1" applyProtection="1">
      <alignment horizontal="center" vertical="center"/>
      <protection hidden="1"/>
    </xf>
    <xf numFmtId="14" fontId="46" fillId="8" borderId="42" xfId="0" applyNumberFormat="1" applyFont="1" applyFill="1" applyBorder="1" applyAlignment="1" applyProtection="1">
      <alignment horizontal="center" vertical="center"/>
      <protection hidden="1"/>
    </xf>
    <xf numFmtId="0" fontId="47" fillId="9" borderId="42" xfId="2" applyNumberFormat="1" applyFont="1" applyFill="1" applyBorder="1" applyAlignment="1" applyProtection="1">
      <alignment vertical="center"/>
      <protection hidden="1"/>
    </xf>
    <xf numFmtId="0" fontId="47" fillId="8" borderId="42" xfId="2" applyNumberFormat="1" applyFont="1" applyFill="1" applyBorder="1" applyAlignment="1" applyProtection="1">
      <alignment vertical="center"/>
      <protection hidden="1"/>
    </xf>
    <xf numFmtId="0" fontId="0" fillId="0" borderId="0" xfId="0" applyNumberFormat="1"/>
    <xf numFmtId="0" fontId="42" fillId="0" borderId="0" xfId="0" applyFont="1" applyFill="1" applyAlignment="1">
      <alignment vertical="center"/>
    </xf>
    <xf numFmtId="0" fontId="49" fillId="0" borderId="0" xfId="0" applyFont="1" applyFill="1" applyAlignment="1">
      <alignment vertical="center"/>
    </xf>
    <xf numFmtId="14" fontId="42" fillId="0" borderId="0" xfId="0" applyNumberFormat="1" applyFont="1" applyFill="1" applyAlignment="1">
      <alignment vertical="center"/>
    </xf>
    <xf numFmtId="0" fontId="37" fillId="0" borderId="0" xfId="0" applyFont="1" applyAlignment="1">
      <alignment horizontal="right" vertical="center"/>
    </xf>
    <xf numFmtId="0" fontId="46" fillId="8" borderId="51" xfId="0" applyFont="1" applyFill="1" applyBorder="1" applyAlignment="1" applyProtection="1">
      <alignment vertical="center"/>
      <protection locked="0"/>
    </xf>
    <xf numFmtId="166" fontId="46" fillId="8" borderId="51" xfId="2" applyNumberFormat="1" applyFont="1" applyFill="1" applyBorder="1" applyAlignment="1" applyProtection="1">
      <alignment vertical="center"/>
      <protection locked="0"/>
    </xf>
    <xf numFmtId="0" fontId="46" fillId="8" borderId="51" xfId="0" applyFont="1" applyFill="1" applyBorder="1" applyAlignment="1" applyProtection="1">
      <alignment horizontal="center" vertical="center"/>
      <protection locked="0"/>
    </xf>
    <xf numFmtId="14" fontId="46" fillId="8" borderId="51" xfId="0" applyNumberFormat="1" applyFont="1" applyFill="1" applyBorder="1" applyAlignment="1" applyProtection="1">
      <alignment horizontal="center" vertical="center"/>
      <protection hidden="1"/>
    </xf>
    <xf numFmtId="6" fontId="1" fillId="8" borderId="51" xfId="0" applyNumberFormat="1" applyFont="1" applyFill="1" applyBorder="1" applyAlignment="1" applyProtection="1">
      <alignment vertical="center"/>
      <protection hidden="1"/>
    </xf>
    <xf numFmtId="6" fontId="46" fillId="8" borderId="51" xfId="2" applyNumberFormat="1" applyFont="1" applyFill="1" applyBorder="1" applyAlignment="1" applyProtection="1">
      <alignment vertical="center"/>
      <protection hidden="1"/>
    </xf>
    <xf numFmtId="0" fontId="46" fillId="9" borderId="51" xfId="0" applyFont="1" applyFill="1" applyBorder="1" applyAlignment="1" applyProtection="1">
      <alignment vertical="center"/>
      <protection locked="0"/>
    </xf>
    <xf numFmtId="166" fontId="46" fillId="9" borderId="51" xfId="2" applyNumberFormat="1" applyFont="1" applyFill="1" applyBorder="1" applyAlignment="1" applyProtection="1">
      <alignment vertical="center"/>
      <protection locked="0"/>
    </xf>
    <xf numFmtId="0" fontId="46" fillId="9" borderId="51" xfId="0" applyFont="1" applyFill="1" applyBorder="1" applyAlignment="1" applyProtection="1">
      <alignment horizontal="center" vertical="center"/>
      <protection locked="0"/>
    </xf>
    <xf numFmtId="0" fontId="0" fillId="0" borderId="0" xfId="0" applyFill="1" applyBorder="1"/>
    <xf numFmtId="0" fontId="28" fillId="12" borderId="0" xfId="0" applyNumberFormat="1" applyFont="1" applyFill="1" applyBorder="1" applyAlignment="1">
      <alignment horizontal="left"/>
    </xf>
    <xf numFmtId="164" fontId="28" fillId="12" borderId="15" xfId="0" applyNumberFormat="1" applyFont="1" applyFill="1" applyBorder="1" applyAlignment="1">
      <alignment horizontal="center"/>
    </xf>
    <xf numFmtId="5" fontId="28" fillId="12" borderId="0" xfId="0" applyNumberFormat="1" applyFont="1" applyFill="1" applyBorder="1" applyAlignment="1">
      <alignment horizontal="left"/>
    </xf>
    <xf numFmtId="5" fontId="48" fillId="12" borderId="0" xfId="0" applyNumberFormat="1" applyFont="1" applyFill="1" applyBorder="1" applyAlignment="1">
      <alignment horizontal="left"/>
    </xf>
    <xf numFmtId="164" fontId="48" fillId="12" borderId="15" xfId="0" applyNumberFormat="1" applyFont="1" applyFill="1" applyBorder="1" applyAlignment="1">
      <alignment horizontal="center"/>
    </xf>
    <xf numFmtId="43" fontId="28" fillId="12" borderId="15" xfId="1" applyNumberFormat="1" applyFont="1" applyFill="1" applyBorder="1" applyAlignment="1">
      <alignment horizontal="center"/>
    </xf>
    <xf numFmtId="0" fontId="28" fillId="12" borderId="0" xfId="0" applyNumberFormat="1" applyFont="1" applyFill="1" applyBorder="1" applyAlignment="1">
      <alignment vertical="center"/>
    </xf>
    <xf numFmtId="0" fontId="28" fillId="12" borderId="15" xfId="0" applyNumberFormat="1" applyFont="1" applyFill="1" applyBorder="1" applyAlignment="1">
      <alignment vertical="center"/>
    </xf>
    <xf numFmtId="0" fontId="28" fillId="12" borderId="15" xfId="0" applyNumberFormat="1" applyFont="1" applyFill="1" applyBorder="1" applyAlignment="1">
      <alignment horizontal="center" vertical="center" wrapText="1"/>
    </xf>
    <xf numFmtId="0" fontId="48" fillId="12" borderId="15" xfId="0" applyNumberFormat="1" applyFont="1" applyFill="1" applyBorder="1" applyAlignment="1">
      <alignment horizontal="center" vertical="center" wrapText="1"/>
    </xf>
    <xf numFmtId="5" fontId="28" fillId="12" borderId="0" xfId="0" applyNumberFormat="1" applyFont="1" applyFill="1" applyBorder="1" applyAlignment="1">
      <alignment vertical="center" wrapText="1"/>
    </xf>
    <xf numFmtId="5" fontId="28" fillId="12" borderId="15" xfId="0" applyNumberFormat="1" applyFont="1" applyFill="1" applyBorder="1" applyAlignment="1">
      <alignment vertical="center" wrapText="1"/>
    </xf>
    <xf numFmtId="5" fontId="28" fillId="12" borderId="15" xfId="0" applyNumberFormat="1" applyFont="1" applyFill="1" applyBorder="1" applyAlignment="1">
      <alignment horizontal="center" vertical="center" wrapText="1"/>
    </xf>
    <xf numFmtId="0" fontId="49" fillId="12" borderId="15" xfId="0" applyFont="1" applyFill="1" applyBorder="1" applyAlignment="1">
      <alignment horizontal="center" vertical="center" wrapText="1"/>
    </xf>
    <xf numFmtId="0" fontId="47" fillId="8" borderId="43" xfId="2" applyNumberFormat="1" applyFont="1" applyFill="1" applyBorder="1" applyAlignment="1" applyProtection="1">
      <alignment horizontal="center" vertical="center"/>
      <protection hidden="1"/>
    </xf>
    <xf numFmtId="0" fontId="47" fillId="9" borderId="42" xfId="2" applyNumberFormat="1" applyFont="1" applyFill="1" applyBorder="1" applyAlignment="1" applyProtection="1">
      <alignment horizontal="center" vertical="center"/>
      <protection hidden="1"/>
    </xf>
    <xf numFmtId="0" fontId="47" fillId="8" borderId="42" xfId="2" applyNumberFormat="1" applyFont="1" applyFill="1" applyBorder="1" applyAlignment="1" applyProtection="1">
      <alignment horizontal="center" vertical="center"/>
      <protection hidden="1"/>
    </xf>
    <xf numFmtId="0" fontId="47" fillId="8" borderId="51" xfId="2" applyNumberFormat="1" applyFont="1" applyFill="1" applyBorder="1" applyAlignment="1" applyProtection="1">
      <alignment horizontal="center" vertical="center"/>
      <protection hidden="1"/>
    </xf>
    <xf numFmtId="0" fontId="47" fillId="8" borderId="0" xfId="2" applyNumberFormat="1" applyFont="1" applyFill="1" applyBorder="1" applyAlignment="1" applyProtection="1">
      <alignment horizontal="center" vertical="center"/>
      <protection hidden="1"/>
    </xf>
    <xf numFmtId="0" fontId="47" fillId="8" borderId="52" xfId="2" applyNumberFormat="1" applyFont="1" applyFill="1" applyBorder="1" applyAlignment="1" applyProtection="1">
      <alignment horizontal="center" vertical="center"/>
      <protection hidden="1"/>
    </xf>
    <xf numFmtId="5" fontId="5" fillId="0" borderId="25" xfId="0" applyNumberFormat="1" applyFont="1" applyFill="1" applyBorder="1" applyAlignment="1" applyProtection="1">
      <alignment horizontal="left"/>
    </xf>
    <xf numFmtId="164" fontId="7" fillId="0" borderId="25" xfId="0" applyNumberFormat="1" applyFont="1" applyBorder="1" applyAlignment="1">
      <alignment horizontal="left"/>
    </xf>
    <xf numFmtId="164" fontId="7" fillId="0" borderId="0" xfId="0" applyNumberFormat="1" applyFont="1" applyBorder="1" applyAlignment="1">
      <alignment horizontal="left"/>
    </xf>
    <xf numFmtId="1" fontId="5" fillId="0" borderId="46" xfId="0" applyNumberFormat="1" applyFont="1" applyFill="1" applyBorder="1" applyAlignment="1" applyProtection="1">
      <alignment horizontal="right"/>
      <protection hidden="1"/>
    </xf>
    <xf numFmtId="1" fontId="5" fillId="0" borderId="10" xfId="0" applyNumberFormat="1" applyFont="1" applyFill="1" applyBorder="1" applyAlignment="1" applyProtection="1">
      <alignment horizontal="right"/>
      <protection hidden="1"/>
    </xf>
    <xf numFmtId="1" fontId="5" fillId="0" borderId="26" xfId="0" applyNumberFormat="1" applyFont="1" applyFill="1" applyBorder="1" applyAlignment="1" applyProtection="1">
      <alignment horizontal="right"/>
      <protection hidden="1"/>
    </xf>
    <xf numFmtId="5" fontId="28" fillId="13" borderId="0" xfId="0" applyNumberFormat="1" applyFont="1" applyFill="1" applyBorder="1" applyAlignment="1">
      <alignment vertical="center" wrapText="1"/>
    </xf>
    <xf numFmtId="5" fontId="28" fillId="13" borderId="15" xfId="0" applyNumberFormat="1" applyFont="1" applyFill="1" applyBorder="1" applyAlignment="1">
      <alignment vertical="center" wrapText="1"/>
    </xf>
    <xf numFmtId="0" fontId="28" fillId="13" borderId="15" xfId="0" applyNumberFormat="1" applyFont="1" applyFill="1" applyBorder="1" applyAlignment="1">
      <alignment horizontal="center" vertical="center" wrapText="1"/>
    </xf>
    <xf numFmtId="5" fontId="28" fillId="13" borderId="15" xfId="0" applyNumberFormat="1" applyFont="1" applyFill="1" applyBorder="1" applyAlignment="1">
      <alignment horizontal="center" vertical="center" wrapText="1"/>
    </xf>
    <xf numFmtId="0" fontId="49" fillId="13" borderId="15" xfId="0" applyFont="1" applyFill="1" applyBorder="1" applyAlignment="1">
      <alignment horizontal="center" vertical="center" wrapText="1"/>
    </xf>
    <xf numFmtId="1" fontId="4" fillId="14" borderId="46" xfId="2" applyNumberFormat="1" applyFont="1" applyFill="1" applyBorder="1" applyAlignment="1" applyProtection="1">
      <alignment horizontal="right"/>
      <protection hidden="1"/>
    </xf>
    <xf numFmtId="1" fontId="4" fillId="14" borderId="10" xfId="2" applyNumberFormat="1" applyFont="1" applyFill="1" applyBorder="1" applyAlignment="1" applyProtection="1">
      <alignment horizontal="right"/>
      <protection hidden="1"/>
    </xf>
    <xf numFmtId="1" fontId="4" fillId="14" borderId="26" xfId="2" applyNumberFormat="1" applyFont="1" applyFill="1" applyBorder="1" applyAlignment="1" applyProtection="1">
      <alignment horizontal="right"/>
      <protection hidden="1"/>
    </xf>
    <xf numFmtId="1" fontId="4" fillId="14" borderId="46" xfId="1" applyNumberFormat="1" applyFont="1" applyFill="1" applyBorder="1" applyAlignment="1" applyProtection="1">
      <alignment horizontal="right"/>
      <protection hidden="1"/>
    </xf>
    <xf numFmtId="1" fontId="4" fillId="14" borderId="10" xfId="1" applyNumberFormat="1" applyFont="1" applyFill="1" applyBorder="1" applyAlignment="1" applyProtection="1">
      <alignment horizontal="right"/>
      <protection hidden="1"/>
    </xf>
    <xf numFmtId="1" fontId="4" fillId="14" borderId="26" xfId="1" applyNumberFormat="1" applyFont="1" applyFill="1" applyBorder="1" applyAlignment="1" applyProtection="1">
      <alignment horizontal="right"/>
      <protection hidden="1"/>
    </xf>
    <xf numFmtId="0" fontId="1" fillId="0" borderId="25" xfId="0" quotePrefix="1" applyNumberFormat="1" applyFont="1" applyFill="1" applyBorder="1" applyAlignment="1" applyProtection="1">
      <alignment horizontal="right" wrapText="1"/>
    </xf>
    <xf numFmtId="166" fontId="1" fillId="14" borderId="10" xfId="2" applyNumberFormat="1" applyFont="1" applyFill="1" applyBorder="1" applyAlignment="1" applyProtection="1">
      <alignment horizontal="right"/>
    </xf>
    <xf numFmtId="166" fontId="4" fillId="14" borderId="10" xfId="2" applyNumberFormat="1" applyFont="1" applyFill="1" applyBorder="1" applyAlignment="1" applyProtection="1">
      <alignment horizontal="right"/>
    </xf>
    <xf numFmtId="5" fontId="5" fillId="0" borderId="23" xfId="0" applyNumberFormat="1" applyFont="1" applyFill="1" applyBorder="1" applyAlignment="1" applyProtection="1">
      <alignment horizontal="right"/>
    </xf>
    <xf numFmtId="5" fontId="5" fillId="0" borderId="5" xfId="0" applyNumberFormat="1" applyFont="1" applyFill="1" applyBorder="1" applyAlignment="1" applyProtection="1">
      <alignment horizontal="right"/>
    </xf>
    <xf numFmtId="166" fontId="4" fillId="0" borderId="8" xfId="2" applyNumberFormat="1" applyFont="1" applyBorder="1" applyProtection="1">
      <protection hidden="1"/>
    </xf>
    <xf numFmtId="1" fontId="4" fillId="0" borderId="53" xfId="1" applyNumberFormat="1" applyFont="1" applyBorder="1" applyAlignment="1" applyProtection="1">
      <alignment horizontal="right"/>
      <protection hidden="1"/>
    </xf>
    <xf numFmtId="1" fontId="4" fillId="0" borderId="8" xfId="1" applyNumberFormat="1" applyFont="1" applyBorder="1" applyAlignment="1" applyProtection="1">
      <alignment horizontal="right"/>
      <protection hidden="1"/>
    </xf>
    <xf numFmtId="1" fontId="4" fillId="0" borderId="24" xfId="1" applyNumberFormat="1" applyFont="1" applyBorder="1" applyAlignment="1" applyProtection="1">
      <alignment horizontal="right"/>
      <protection hidden="1"/>
    </xf>
    <xf numFmtId="1" fontId="4" fillId="0" borderId="0" xfId="1" applyNumberFormat="1" applyFont="1" applyBorder="1" applyAlignment="1" applyProtection="1">
      <alignment horizontal="right"/>
      <protection hidden="1"/>
    </xf>
    <xf numFmtId="0" fontId="0" fillId="0" borderId="32" xfId="0" applyBorder="1" applyAlignment="1" applyProtection="1">
      <alignment horizontal="center"/>
      <protection locked="0"/>
    </xf>
    <xf numFmtId="0" fontId="4" fillId="0" borderId="26" xfId="0" applyNumberFormat="1" applyFont="1" applyFill="1" applyBorder="1" applyAlignment="1" applyProtection="1"/>
    <xf numFmtId="0" fontId="0" fillId="0" borderId="31" xfId="0" applyBorder="1" applyAlignment="1" applyProtection="1">
      <alignment horizontal="center"/>
      <protection locked="0"/>
    </xf>
    <xf numFmtId="0" fontId="0" fillId="0" borderId="10" xfId="0" applyBorder="1"/>
    <xf numFmtId="164" fontId="3" fillId="0" borderId="55" xfId="0" applyNumberFormat="1" applyFont="1" applyBorder="1" applyAlignment="1">
      <alignment horizontal="left"/>
    </xf>
    <xf numFmtId="0" fontId="37" fillId="0" borderId="56" xfId="0" applyNumberFormat="1" applyFont="1" applyFill="1" applyBorder="1" applyAlignment="1" applyProtection="1"/>
    <xf numFmtId="0" fontId="37" fillId="0" borderId="54" xfId="0" applyNumberFormat="1" applyFont="1" applyFill="1" applyBorder="1" applyAlignment="1" applyProtection="1"/>
    <xf numFmtId="166" fontId="4" fillId="0" borderId="57" xfId="2" applyNumberFormat="1" applyFont="1" applyBorder="1" applyProtection="1">
      <protection hidden="1"/>
    </xf>
    <xf numFmtId="1" fontId="4" fillId="0" borderId="58" xfId="2" applyNumberFormat="1" applyFont="1" applyBorder="1" applyAlignment="1" applyProtection="1">
      <alignment horizontal="right"/>
      <protection hidden="1"/>
    </xf>
    <xf numFmtId="1" fontId="4" fillId="0" borderId="57" xfId="2" applyNumberFormat="1" applyFont="1" applyBorder="1" applyAlignment="1" applyProtection="1">
      <alignment horizontal="right"/>
      <protection hidden="1"/>
    </xf>
    <xf numFmtId="1" fontId="4" fillId="0" borderId="59" xfId="2" applyNumberFormat="1" applyFont="1" applyBorder="1" applyAlignment="1" applyProtection="1">
      <alignment horizontal="right"/>
      <protection hidden="1"/>
    </xf>
    <xf numFmtId="166" fontId="4" fillId="0" borderId="39" xfId="2" applyNumberFormat="1" applyFont="1" applyBorder="1" applyProtection="1">
      <protection hidden="1"/>
    </xf>
    <xf numFmtId="166" fontId="4" fillId="0" borderId="26" xfId="0" applyNumberFormat="1" applyFont="1" applyFill="1" applyBorder="1" applyAlignment="1" applyProtection="1">
      <protection hidden="1"/>
    </xf>
    <xf numFmtId="166" fontId="4" fillId="14" borderId="26" xfId="2" applyNumberFormat="1" applyFont="1" applyFill="1" applyBorder="1" applyProtection="1">
      <protection hidden="1"/>
    </xf>
    <xf numFmtId="166" fontId="4" fillId="14" borderId="26" xfId="1" applyNumberFormat="1" applyFont="1" applyFill="1" applyBorder="1" applyProtection="1">
      <protection hidden="1"/>
    </xf>
    <xf numFmtId="166" fontId="4" fillId="0" borderId="24" xfId="2" applyNumberFormat="1" applyFont="1" applyBorder="1" applyProtection="1">
      <protection hidden="1"/>
    </xf>
    <xf numFmtId="166" fontId="4" fillId="0" borderId="26" xfId="0" applyNumberFormat="1" applyFont="1" applyBorder="1" applyProtection="1">
      <protection hidden="1"/>
    </xf>
    <xf numFmtId="0" fontId="0" fillId="0" borderId="33" xfId="0" applyBorder="1" applyAlignment="1" applyProtection="1">
      <alignment horizontal="center"/>
      <protection locked="0"/>
    </xf>
    <xf numFmtId="166" fontId="5" fillId="0" borderId="41" xfId="0" applyNumberFormat="1" applyFont="1" applyFill="1" applyBorder="1" applyAlignment="1" applyProtection="1">
      <protection hidden="1"/>
    </xf>
    <xf numFmtId="166" fontId="5" fillId="0" borderId="26" xfId="0" applyNumberFormat="1" applyFont="1" applyFill="1" applyBorder="1" applyAlignment="1" applyProtection="1">
      <protection hidden="1"/>
    </xf>
    <xf numFmtId="166" fontId="4" fillId="0" borderId="30" xfId="0" applyNumberFormat="1" applyFont="1" applyFill="1" applyBorder="1" applyAlignment="1" applyProtection="1">
      <protection hidden="1"/>
    </xf>
    <xf numFmtId="166" fontId="4" fillId="0" borderId="26" xfId="2" applyNumberFormat="1" applyFont="1" applyBorder="1" applyProtection="1">
      <protection hidden="1"/>
    </xf>
    <xf numFmtId="166" fontId="4" fillId="0" borderId="59" xfId="2" applyNumberFormat="1" applyFont="1" applyBorder="1" applyProtection="1">
      <protection hidden="1"/>
    </xf>
    <xf numFmtId="0" fontId="1" fillId="0" borderId="26" xfId="0" applyNumberFormat="1" applyFont="1" applyFill="1" applyBorder="1" applyAlignment="1" applyProtection="1">
      <alignment horizontal="center"/>
      <protection hidden="1"/>
    </xf>
    <xf numFmtId="0" fontId="4" fillId="0" borderId="26" xfId="0" applyNumberFormat="1" applyFont="1" applyFill="1" applyBorder="1" applyAlignment="1" applyProtection="1">
      <protection hidden="1"/>
    </xf>
    <xf numFmtId="166" fontId="5" fillId="0" borderId="39" xfId="1" applyNumberFormat="1" applyFont="1" applyBorder="1" applyProtection="1">
      <protection hidden="1"/>
    </xf>
    <xf numFmtId="166" fontId="4" fillId="14" borderId="60" xfId="1" applyNumberFormat="1" applyFont="1" applyFill="1" applyBorder="1" applyProtection="1">
      <protection hidden="1"/>
    </xf>
    <xf numFmtId="166" fontId="4" fillId="14" borderId="60" xfId="2" applyNumberFormat="1" applyFont="1" applyFill="1" applyBorder="1" applyProtection="1">
      <protection hidden="1"/>
    </xf>
    <xf numFmtId="166" fontId="4" fillId="0" borderId="60" xfId="0" applyNumberFormat="1" applyFont="1" applyBorder="1" applyProtection="1">
      <protection hidden="1"/>
    </xf>
    <xf numFmtId="166" fontId="5" fillId="0" borderId="61" xfId="0" applyNumberFormat="1" applyFont="1" applyFill="1" applyBorder="1" applyAlignment="1" applyProtection="1">
      <protection hidden="1"/>
    </xf>
    <xf numFmtId="166" fontId="4" fillId="0" borderId="62" xfId="0" applyNumberFormat="1" applyFont="1" applyFill="1" applyBorder="1" applyAlignment="1" applyProtection="1">
      <alignment horizontal="center"/>
      <protection hidden="1"/>
    </xf>
    <xf numFmtId="166" fontId="4" fillId="0" borderId="60" xfId="0" applyNumberFormat="1" applyFont="1" applyFill="1" applyBorder="1" applyAlignment="1" applyProtection="1">
      <protection hidden="1"/>
    </xf>
    <xf numFmtId="166" fontId="5" fillId="0" borderId="63" xfId="1" applyNumberFormat="1" applyFont="1" applyBorder="1" applyProtection="1">
      <protection hidden="1"/>
    </xf>
    <xf numFmtId="166" fontId="4" fillId="0" borderId="63" xfId="2" applyNumberFormat="1" applyFont="1" applyBorder="1" applyProtection="1">
      <protection hidden="1"/>
    </xf>
    <xf numFmtId="166" fontId="4" fillId="0" borderId="60" xfId="2" applyNumberFormat="1" applyFont="1" applyBorder="1" applyProtection="1">
      <protection hidden="1"/>
    </xf>
    <xf numFmtId="166" fontId="4" fillId="0" borderId="61" xfId="2" applyNumberFormat="1" applyFont="1" applyBorder="1" applyProtection="1">
      <protection hidden="1"/>
    </xf>
    <xf numFmtId="0" fontId="0" fillId="0" borderId="62" xfId="0" applyBorder="1" applyAlignment="1" applyProtection="1">
      <alignment horizontal="center"/>
      <protection locked="0"/>
    </xf>
    <xf numFmtId="166" fontId="4" fillId="0" borderId="63" xfId="0" applyNumberFormat="1" applyFont="1" applyFill="1" applyBorder="1" applyAlignment="1" applyProtection="1">
      <protection hidden="1"/>
    </xf>
    <xf numFmtId="166" fontId="4" fillId="0" borderId="64" xfId="0" applyNumberFormat="1" applyFont="1" applyFill="1" applyBorder="1" applyAlignment="1" applyProtection="1">
      <protection hidden="1"/>
    </xf>
    <xf numFmtId="166" fontId="4" fillId="0" borderId="62" xfId="0" applyNumberFormat="1" applyFont="1" applyFill="1" applyBorder="1" applyAlignment="1" applyProtection="1">
      <protection hidden="1"/>
    </xf>
    <xf numFmtId="166" fontId="4" fillId="0" borderId="33" xfId="0" applyNumberFormat="1" applyFont="1" applyFill="1" applyBorder="1" applyAlignment="1" applyProtection="1">
      <alignment horizontal="center"/>
      <protection hidden="1"/>
    </xf>
    <xf numFmtId="166" fontId="4" fillId="0" borderId="26" xfId="1" applyNumberFormat="1" applyFont="1" applyBorder="1" applyProtection="1">
      <protection hidden="1"/>
    </xf>
    <xf numFmtId="166" fontId="4" fillId="14" borderId="28" xfId="1" applyNumberFormat="1" applyFont="1" applyFill="1" applyBorder="1" applyProtection="1">
      <protection hidden="1"/>
    </xf>
    <xf numFmtId="166" fontId="5" fillId="0" borderId="63" xfId="0" applyNumberFormat="1" applyFont="1" applyFill="1" applyBorder="1" applyAlignment="1" applyProtection="1">
      <protection hidden="1"/>
    </xf>
    <xf numFmtId="166" fontId="4" fillId="0" borderId="61" xfId="0" applyNumberFormat="1" applyFont="1" applyFill="1" applyBorder="1" applyAlignment="1" applyProtection="1">
      <protection hidden="1"/>
    </xf>
    <xf numFmtId="166" fontId="4" fillId="0" borderId="60" xfId="0" applyNumberFormat="1" applyFont="1" applyFill="1" applyBorder="1" applyAlignment="1" applyProtection="1"/>
    <xf numFmtId="166" fontId="7" fillId="0" borderId="10" xfId="0" applyNumberFormat="1" applyFont="1" applyBorder="1" applyAlignment="1">
      <alignment horizontal="left"/>
    </xf>
    <xf numFmtId="166" fontId="4" fillId="0" borderId="65" xfId="0" applyNumberFormat="1" applyFont="1" applyFill="1" applyBorder="1" applyAlignment="1" applyProtection="1"/>
    <xf numFmtId="0" fontId="4" fillId="0" borderId="65" xfId="0" applyNumberFormat="1" applyFont="1" applyFill="1" applyBorder="1" applyAlignment="1" applyProtection="1"/>
    <xf numFmtId="164" fontId="4" fillId="0" borderId="65" xfId="0" applyNumberFormat="1" applyFont="1" applyBorder="1" applyAlignment="1">
      <alignment horizontal="right"/>
    </xf>
    <xf numFmtId="0" fontId="4" fillId="0" borderId="65" xfId="0" applyNumberFormat="1" applyFont="1" applyFill="1" applyBorder="1" applyAlignment="1" applyProtection="1">
      <alignment horizontal="right"/>
    </xf>
    <xf numFmtId="0" fontId="49" fillId="15" borderId="15" xfId="0" applyFont="1" applyFill="1" applyBorder="1" applyAlignment="1">
      <alignment horizontal="center" vertical="center" wrapText="1"/>
    </xf>
    <xf numFmtId="0" fontId="28" fillId="15" borderId="15" xfId="0" applyNumberFormat="1" applyFont="1" applyFill="1" applyBorder="1" applyAlignment="1">
      <alignment horizontal="center" vertical="center" wrapText="1"/>
    </xf>
    <xf numFmtId="0" fontId="47" fillId="8" borderId="44" xfId="2" applyNumberFormat="1" applyFont="1" applyFill="1" applyBorder="1" applyAlignment="1" applyProtection="1">
      <alignment horizontal="center" vertical="center"/>
      <protection hidden="1"/>
    </xf>
    <xf numFmtId="0" fontId="48" fillId="15" borderId="15" xfId="0" applyNumberFormat="1" applyFont="1" applyFill="1" applyBorder="1" applyAlignment="1">
      <alignment horizontal="center" vertical="center" wrapText="1"/>
    </xf>
    <xf numFmtId="0" fontId="48" fillId="15" borderId="15" xfId="0" applyNumberFormat="1" applyFont="1" applyFill="1" applyBorder="1" applyAlignment="1">
      <alignment vertical="center"/>
    </xf>
    <xf numFmtId="0" fontId="46" fillId="8" borderId="43" xfId="0" applyNumberFormat="1" applyFont="1" applyFill="1" applyBorder="1" applyAlignment="1" applyProtection="1">
      <alignment horizontal="center" vertical="center"/>
      <protection hidden="1"/>
    </xf>
    <xf numFmtId="166" fontId="46" fillId="8" borderId="43" xfId="2" applyNumberFormat="1" applyFont="1" applyFill="1" applyBorder="1" applyAlignment="1" applyProtection="1">
      <alignment horizontal="center" vertical="center"/>
      <protection hidden="1"/>
    </xf>
    <xf numFmtId="0" fontId="47" fillId="9" borderId="44" xfId="2" applyNumberFormat="1" applyFont="1" applyFill="1" applyBorder="1" applyAlignment="1" applyProtection="1">
      <alignment vertical="center"/>
      <protection hidden="1"/>
    </xf>
    <xf numFmtId="0" fontId="47" fillId="8" borderId="51" xfId="2" applyNumberFormat="1" applyFont="1" applyFill="1" applyBorder="1" applyAlignment="1" applyProtection="1">
      <alignment vertical="center"/>
      <protection hidden="1"/>
    </xf>
    <xf numFmtId="0" fontId="47" fillId="9" borderId="51" xfId="2" applyNumberFormat="1" applyFont="1" applyFill="1" applyBorder="1" applyAlignment="1" applyProtection="1">
      <alignment vertical="center"/>
      <protection hidden="1"/>
    </xf>
    <xf numFmtId="9" fontId="46" fillId="8" borderId="43" xfId="4" applyFont="1" applyFill="1" applyBorder="1" applyAlignment="1" applyProtection="1">
      <alignment horizontal="center" vertical="center"/>
      <protection hidden="1"/>
    </xf>
    <xf numFmtId="0" fontId="46" fillId="9" borderId="42" xfId="0" applyNumberFormat="1" applyFont="1" applyFill="1" applyBorder="1" applyAlignment="1" applyProtection="1">
      <alignment horizontal="center" vertical="center"/>
      <protection hidden="1"/>
    </xf>
    <xf numFmtId="166" fontId="46" fillId="9" borderId="42" xfId="2" applyNumberFormat="1" applyFont="1" applyFill="1" applyBorder="1" applyAlignment="1" applyProtection="1">
      <alignment horizontal="center" vertical="center"/>
      <protection hidden="1"/>
    </xf>
    <xf numFmtId="0" fontId="46" fillId="8" borderId="42" xfId="0" applyNumberFormat="1" applyFont="1" applyFill="1" applyBorder="1" applyAlignment="1" applyProtection="1">
      <alignment horizontal="center" vertical="center"/>
      <protection hidden="1"/>
    </xf>
    <xf numFmtId="166" fontId="46" fillId="8" borderId="42" xfId="2" applyNumberFormat="1" applyFont="1" applyFill="1" applyBorder="1" applyAlignment="1" applyProtection="1">
      <alignment horizontal="center" vertical="center"/>
      <protection hidden="1"/>
    </xf>
    <xf numFmtId="0" fontId="46" fillId="8" borderId="51" xfId="0" applyFont="1" applyFill="1" applyBorder="1" applyAlignment="1" applyProtection="1">
      <alignment horizontal="center" vertical="center"/>
      <protection hidden="1"/>
    </xf>
    <xf numFmtId="0" fontId="46" fillId="8" borderId="51" xfId="0" applyNumberFormat="1" applyFont="1" applyFill="1" applyBorder="1" applyAlignment="1" applyProtection="1">
      <alignment horizontal="center" vertical="center"/>
      <protection hidden="1"/>
    </xf>
    <xf numFmtId="166" fontId="46" fillId="8" borderId="51" xfId="2" applyNumberFormat="1" applyFont="1" applyFill="1" applyBorder="1" applyAlignment="1" applyProtection="1">
      <alignment horizontal="center" vertical="center"/>
      <protection hidden="1"/>
    </xf>
    <xf numFmtId="0" fontId="46" fillId="8" borderId="43" xfId="0" applyFont="1" applyFill="1" applyBorder="1" applyAlignment="1" applyProtection="1">
      <alignment vertical="center"/>
      <protection hidden="1"/>
    </xf>
    <xf numFmtId="0" fontId="46" fillId="9" borderId="42" xfId="0" applyFont="1" applyFill="1" applyBorder="1" applyAlignment="1" applyProtection="1">
      <alignment vertical="center"/>
      <protection hidden="1"/>
    </xf>
    <xf numFmtId="0" fontId="46" fillId="8" borderId="42" xfId="0" applyFont="1" applyFill="1" applyBorder="1" applyAlignment="1" applyProtection="1">
      <alignment vertical="center"/>
      <protection hidden="1"/>
    </xf>
    <xf numFmtId="5" fontId="1" fillId="0" borderId="25" xfId="0" applyNumberFormat="1" applyFont="1" applyBorder="1" applyAlignment="1" applyProtection="1">
      <alignment horizontal="right"/>
      <protection hidden="1"/>
    </xf>
    <xf numFmtId="0" fontId="37" fillId="0" borderId="0" xfId="0" applyFont="1" applyAlignment="1">
      <alignment horizontal="right" vertical="center"/>
    </xf>
    <xf numFmtId="0" fontId="1" fillId="0" borderId="25" xfId="0" applyFont="1" applyBorder="1" applyAlignment="1" applyProtection="1">
      <alignment horizontal="right"/>
      <protection hidden="1"/>
    </xf>
    <xf numFmtId="0" fontId="1" fillId="0" borderId="0" xfId="0" applyFont="1" applyProtection="1">
      <protection hidden="1"/>
    </xf>
    <xf numFmtId="43" fontId="47" fillId="9" borderId="42" xfId="1" applyNumberFormat="1" applyFont="1" applyFill="1" applyBorder="1" applyProtection="1"/>
    <xf numFmtId="43" fontId="47" fillId="8" borderId="42" xfId="1" applyNumberFormat="1" applyFont="1" applyFill="1" applyBorder="1" applyProtection="1"/>
    <xf numFmtId="0" fontId="0" fillId="0" borderId="25" xfId="0" applyBorder="1" applyAlignment="1" applyProtection="1">
      <alignment horizontal="right"/>
      <protection hidden="1"/>
    </xf>
    <xf numFmtId="0" fontId="1" fillId="0" borderId="0" xfId="0" applyFont="1" applyAlignment="1">
      <alignment horizontal="right" vertical="center"/>
    </xf>
    <xf numFmtId="0" fontId="37" fillId="0" borderId="0" xfId="0" applyFont="1" applyAlignment="1">
      <alignment horizontal="right" vertical="center"/>
    </xf>
    <xf numFmtId="44" fontId="0" fillId="0" borderId="0" xfId="2" applyFont="1"/>
    <xf numFmtId="0" fontId="52" fillId="0" borderId="0" xfId="0" applyFont="1" applyAlignment="1">
      <alignment horizontal="right" vertical="center"/>
    </xf>
    <xf numFmtId="0" fontId="5" fillId="0" borderId="0" xfId="0" applyFont="1"/>
    <xf numFmtId="0" fontId="1" fillId="0" borderId="25" xfId="0" quotePrefix="1" applyNumberFormat="1" applyFont="1" applyFill="1" applyBorder="1" applyAlignment="1" applyProtection="1">
      <alignment horizontal="right"/>
      <protection locked="0"/>
    </xf>
    <xf numFmtId="0" fontId="1" fillId="0" borderId="25" xfId="0" applyFont="1" applyBorder="1" applyAlignment="1" applyProtection="1">
      <alignment horizontal="right"/>
      <protection hidden="1"/>
    </xf>
    <xf numFmtId="0" fontId="1" fillId="0" borderId="9" xfId="0" applyNumberFormat="1" applyFont="1" applyFill="1" applyBorder="1" applyAlignment="1" applyProtection="1">
      <alignment horizontal="right" wrapText="1"/>
      <protection locked="0"/>
    </xf>
    <xf numFmtId="0" fontId="1" fillId="0" borderId="25" xfId="0" applyNumberFormat="1" applyFont="1" applyFill="1" applyBorder="1" applyAlignment="1" applyProtection="1">
      <alignment horizontal="right" wrapText="1"/>
      <protection locked="0"/>
    </xf>
    <xf numFmtId="43" fontId="1" fillId="0" borderId="25" xfId="1" applyFont="1" applyBorder="1" applyAlignment="1" applyProtection="1">
      <alignment horizontal="right" wrapText="1"/>
      <protection locked="0"/>
    </xf>
    <xf numFmtId="44" fontId="47" fillId="9" borderId="44" xfId="2" applyFont="1" applyFill="1" applyBorder="1" applyAlignment="1" applyProtection="1">
      <alignment horizontal="right"/>
      <protection locked="0"/>
    </xf>
    <xf numFmtId="44" fontId="47" fillId="8" borderId="44" xfId="2" applyFont="1" applyFill="1" applyBorder="1" applyAlignment="1" applyProtection="1">
      <alignment horizontal="right"/>
      <protection locked="0"/>
    </xf>
    <xf numFmtId="166" fontId="1" fillId="0" borderId="10" xfId="1" applyNumberFormat="1" applyFont="1" applyBorder="1" applyProtection="1">
      <protection hidden="1"/>
    </xf>
    <xf numFmtId="0" fontId="19" fillId="0" borderId="0" xfId="0" applyFont="1" applyBorder="1" applyAlignment="1" applyProtection="1">
      <alignment horizontal="center"/>
      <protection locked="0"/>
    </xf>
    <xf numFmtId="0" fontId="19" fillId="0" borderId="66" xfId="0" applyFont="1" applyBorder="1" applyProtection="1">
      <protection locked="0"/>
    </xf>
    <xf numFmtId="0" fontId="19" fillId="0" borderId="66" xfId="0" applyFont="1" applyBorder="1" applyAlignment="1" applyProtection="1">
      <alignment horizontal="left"/>
      <protection locked="0"/>
    </xf>
    <xf numFmtId="0" fontId="19" fillId="0" borderId="66" xfId="0" applyFont="1" applyBorder="1" applyAlignment="1" applyProtection="1">
      <alignment horizontal="center"/>
      <protection locked="0"/>
    </xf>
    <xf numFmtId="166" fontId="4" fillId="14" borderId="26" xfId="0" applyNumberFormat="1" applyFont="1" applyFill="1" applyBorder="1" applyAlignment="1" applyProtection="1">
      <protection hidden="1"/>
    </xf>
    <xf numFmtId="1" fontId="4" fillId="14" borderId="10" xfId="0" applyNumberFormat="1" applyFont="1" applyFill="1" applyBorder="1" applyAlignment="1" applyProtection="1">
      <alignment horizontal="right"/>
      <protection hidden="1"/>
    </xf>
    <xf numFmtId="1" fontId="4" fillId="14" borderId="26" xfId="0" applyNumberFormat="1" applyFont="1" applyFill="1" applyBorder="1" applyAlignment="1" applyProtection="1">
      <alignment horizontal="right"/>
      <protection hidden="1"/>
    </xf>
    <xf numFmtId="1" fontId="4" fillId="14" borderId="46" xfId="0" applyNumberFormat="1" applyFont="1" applyFill="1" applyBorder="1" applyAlignment="1" applyProtection="1">
      <alignment horizontal="right"/>
    </xf>
    <xf numFmtId="1" fontId="4" fillId="14" borderId="10" xfId="0" applyNumberFormat="1" applyFont="1" applyFill="1" applyBorder="1" applyAlignment="1" applyProtection="1">
      <alignment horizontal="right"/>
    </xf>
    <xf numFmtId="1" fontId="4" fillId="14" borderId="26" xfId="0" applyNumberFormat="1" applyFont="1" applyFill="1" applyBorder="1" applyAlignment="1" applyProtection="1">
      <alignment horizontal="right"/>
    </xf>
    <xf numFmtId="166" fontId="1" fillId="14" borderId="10" xfId="0" applyNumberFormat="1" applyFont="1" applyFill="1" applyBorder="1" applyAlignment="1" applyProtection="1"/>
    <xf numFmtId="166" fontId="1" fillId="14" borderId="10" xfId="0" applyNumberFormat="1" applyFont="1" applyFill="1" applyBorder="1" applyAlignment="1" applyProtection="1">
      <protection hidden="1"/>
    </xf>
    <xf numFmtId="0" fontId="28" fillId="13" borderId="0" xfId="0" applyNumberFormat="1" applyFont="1" applyFill="1" applyBorder="1" applyAlignment="1">
      <alignment horizontal="left"/>
    </xf>
    <xf numFmtId="164" fontId="28" fillId="13" borderId="15" xfId="0" applyNumberFormat="1" applyFont="1" applyFill="1" applyBorder="1" applyAlignment="1">
      <alignment horizontal="center"/>
    </xf>
    <xf numFmtId="166" fontId="4" fillId="0" borderId="10" xfId="1" applyNumberFormat="1" applyFont="1" applyFill="1" applyBorder="1" applyProtection="1">
      <protection hidden="1"/>
    </xf>
    <xf numFmtId="166" fontId="1" fillId="0" borderId="10" xfId="0" applyNumberFormat="1" applyFont="1" applyBorder="1" applyProtection="1">
      <protection hidden="1"/>
    </xf>
    <xf numFmtId="0" fontId="4" fillId="0" borderId="0" xfId="0" applyNumberFormat="1" applyFont="1" applyFill="1" applyBorder="1" applyAlignment="1" applyProtection="1">
      <protection hidden="1"/>
    </xf>
    <xf numFmtId="164" fontId="42" fillId="0" borderId="0" xfId="0" applyNumberFormat="1" applyFont="1" applyAlignment="1" applyProtection="1">
      <alignment horizontal="center" vertical="center"/>
      <protection hidden="1"/>
    </xf>
    <xf numFmtId="0" fontId="42" fillId="0" borderId="0" xfId="1" applyNumberFormat="1" applyFont="1" applyBorder="1" applyAlignment="1" applyProtection="1">
      <alignment horizontal="center" vertical="center"/>
      <protection hidden="1"/>
    </xf>
    <xf numFmtId="164" fontId="42" fillId="0" borderId="0" xfId="0" applyNumberFormat="1" applyFont="1" applyProtection="1">
      <protection hidden="1"/>
    </xf>
    <xf numFmtId="0" fontId="35" fillId="0" borderId="0" xfId="0" applyNumberFormat="1" applyFont="1" applyFill="1" applyBorder="1" applyAlignment="1" applyProtection="1">
      <protection hidden="1"/>
    </xf>
    <xf numFmtId="5" fontId="35" fillId="0" borderId="0" xfId="0" applyNumberFormat="1" applyFont="1" applyFill="1" applyBorder="1" applyAlignment="1" applyProtection="1">
      <protection hidden="1"/>
    </xf>
    <xf numFmtId="166" fontId="1" fillId="0" borderId="10" xfId="0" applyNumberFormat="1" applyFont="1" applyFill="1" applyBorder="1" applyAlignment="1" applyProtection="1">
      <protection locked="0"/>
    </xf>
    <xf numFmtId="166" fontId="1" fillId="0" borderId="0" xfId="2" applyNumberFormat="1" applyFont="1" applyBorder="1" applyProtection="1">
      <protection hidden="1"/>
    </xf>
    <xf numFmtId="166" fontId="1" fillId="0" borderId="0" xfId="1" applyNumberFormat="1" applyFont="1" applyBorder="1" applyProtection="1">
      <protection hidden="1"/>
    </xf>
    <xf numFmtId="44" fontId="5" fillId="0" borderId="63" xfId="0" applyNumberFormat="1" applyFont="1" applyFill="1" applyBorder="1" applyAlignment="1" applyProtection="1"/>
    <xf numFmtId="1" fontId="5" fillId="0" borderId="47" xfId="0" applyNumberFormat="1" applyFont="1" applyFill="1" applyBorder="1" applyAlignment="1" applyProtection="1">
      <alignment horizontal="right"/>
    </xf>
    <xf numFmtId="167" fontId="4" fillId="14" borderId="46" xfId="0" applyNumberFormat="1" applyFont="1" applyFill="1" applyBorder="1" applyAlignment="1" applyProtection="1">
      <alignment horizontal="center"/>
      <protection hidden="1"/>
    </xf>
    <xf numFmtId="170" fontId="4" fillId="14" borderId="10" xfId="1" applyNumberFormat="1" applyFont="1" applyFill="1" applyBorder="1" applyAlignment="1" applyProtection="1">
      <alignment horizontal="center"/>
    </xf>
    <xf numFmtId="170" fontId="4" fillId="14" borderId="26" xfId="1" applyNumberFormat="1" applyFont="1" applyFill="1" applyBorder="1" applyAlignment="1" applyProtection="1">
      <alignment horizontal="center"/>
    </xf>
    <xf numFmtId="166" fontId="5" fillId="0" borderId="67" xfId="0" applyNumberFormat="1" applyFont="1" applyFill="1" applyBorder="1" applyAlignment="1" applyProtection="1">
      <protection hidden="1"/>
    </xf>
    <xf numFmtId="166" fontId="7" fillId="0" borderId="68" xfId="0" applyNumberFormat="1" applyFont="1" applyBorder="1" applyAlignment="1">
      <alignment horizontal="left"/>
    </xf>
    <xf numFmtId="166" fontId="1" fillId="0" borderId="69" xfId="2" applyNumberFormat="1" applyFont="1" applyFill="1" applyBorder="1" applyAlignment="1" applyProtection="1">
      <alignment horizontal="right" wrapText="1"/>
      <protection locked="0"/>
    </xf>
    <xf numFmtId="166" fontId="0" fillId="0" borderId="65" xfId="2" applyNumberFormat="1" applyFont="1" applyBorder="1" applyAlignment="1" applyProtection="1">
      <alignment horizontal="center"/>
      <protection locked="0"/>
    </xf>
    <xf numFmtId="166" fontId="1" fillId="0" borderId="65" xfId="2" applyNumberFormat="1" applyFont="1" applyFill="1" applyBorder="1" applyAlignment="1" applyProtection="1">
      <alignment horizontal="center"/>
    </xf>
    <xf numFmtId="170" fontId="5" fillId="0" borderId="19" xfId="1" applyNumberFormat="1" applyFont="1" applyFill="1" applyBorder="1" applyAlignment="1" applyProtection="1">
      <alignment horizontal="right"/>
      <protection hidden="1"/>
    </xf>
    <xf numFmtId="170" fontId="5" fillId="0" borderId="49" xfId="1" applyNumberFormat="1" applyFont="1" applyFill="1" applyBorder="1" applyAlignment="1" applyProtection="1">
      <alignment horizontal="right"/>
      <protection hidden="1"/>
    </xf>
    <xf numFmtId="170" fontId="5" fillId="0" borderId="30" xfId="1" applyNumberFormat="1" applyFont="1" applyFill="1" applyBorder="1" applyAlignment="1" applyProtection="1">
      <alignment horizontal="right"/>
      <protection hidden="1"/>
    </xf>
    <xf numFmtId="43" fontId="5" fillId="0" borderId="19" xfId="1" applyNumberFormat="1" applyFont="1" applyFill="1" applyBorder="1" applyAlignment="1" applyProtection="1">
      <alignment horizontal="right"/>
      <protection hidden="1"/>
    </xf>
    <xf numFmtId="166" fontId="9" fillId="0" borderId="37" xfId="2" applyNumberFormat="1" applyFont="1" applyBorder="1" applyProtection="1">
      <protection hidden="1"/>
    </xf>
    <xf numFmtId="0" fontId="42" fillId="0" borderId="0" xfId="0" applyFont="1" applyAlignment="1" applyProtection="1">
      <alignment vertical="center"/>
      <protection hidden="1"/>
    </xf>
    <xf numFmtId="0" fontId="49" fillId="0" borderId="0" xfId="0" applyFont="1" applyAlignment="1" applyProtection="1">
      <alignment vertical="center"/>
      <protection hidden="1"/>
    </xf>
    <xf numFmtId="6" fontId="42" fillId="0" borderId="0" xfId="0" applyNumberFormat="1" applyFont="1" applyAlignment="1" applyProtection="1">
      <alignment vertical="center"/>
      <protection hidden="1"/>
    </xf>
    <xf numFmtId="0" fontId="42" fillId="0" borderId="0" xfId="0" applyFont="1" applyAlignment="1">
      <alignment vertical="center"/>
    </xf>
    <xf numFmtId="8" fontId="42" fillId="0" borderId="0" xfId="0" applyNumberFormat="1" applyFont="1" applyAlignment="1" applyProtection="1">
      <alignment vertical="center"/>
      <protection hidden="1"/>
    </xf>
    <xf numFmtId="169" fontId="0" fillId="0" borderId="0" xfId="0" applyNumberFormat="1"/>
    <xf numFmtId="0" fontId="37" fillId="0" borderId="0" xfId="0" applyFont="1" applyAlignment="1">
      <alignment horizontal="right" vertical="center"/>
    </xf>
    <xf numFmtId="0" fontId="42" fillId="0" borderId="0" xfId="0" applyFont="1" applyProtection="1">
      <protection locked="0"/>
    </xf>
    <xf numFmtId="0" fontId="42" fillId="0" borderId="0" xfId="0" applyFont="1" applyProtection="1">
      <protection hidden="1"/>
    </xf>
    <xf numFmtId="166" fontId="5" fillId="0" borderId="0" xfId="0" applyNumberFormat="1" applyFont="1" applyAlignment="1">
      <alignment vertical="center"/>
    </xf>
    <xf numFmtId="0" fontId="46" fillId="8" borderId="51" xfId="2" applyNumberFormat="1" applyFont="1" applyFill="1" applyBorder="1" applyAlignment="1" applyProtection="1">
      <alignment horizontal="center" vertical="center"/>
      <protection hidden="1"/>
    </xf>
    <xf numFmtId="0" fontId="50" fillId="8" borderId="16" xfId="0" applyNumberFormat="1" applyFont="1" applyFill="1" applyBorder="1" applyAlignment="1" applyProtection="1">
      <alignment horizontal="right"/>
      <protection hidden="1"/>
    </xf>
    <xf numFmtId="44" fontId="50" fillId="8" borderId="43" xfId="2" applyNumberFormat="1" applyFont="1" applyFill="1" applyBorder="1" applyProtection="1">
      <protection hidden="1"/>
    </xf>
    <xf numFmtId="43" fontId="50" fillId="8" borderId="43" xfId="1" applyNumberFormat="1" applyFont="1" applyFill="1" applyBorder="1" applyProtection="1">
      <protection hidden="1"/>
    </xf>
    <xf numFmtId="44" fontId="42" fillId="0" borderId="0" xfId="1" applyNumberFormat="1" applyFont="1" applyAlignment="1" applyProtection="1">
      <alignment vertical="center"/>
      <protection hidden="1"/>
    </xf>
    <xf numFmtId="0" fontId="49" fillId="0" borderId="0" xfId="0" applyFont="1" applyAlignment="1">
      <alignment vertical="center"/>
    </xf>
    <xf numFmtId="43" fontId="42" fillId="0" borderId="0" xfId="1" applyFont="1" applyAlignment="1" applyProtection="1">
      <alignment vertical="center"/>
      <protection hidden="1"/>
    </xf>
    <xf numFmtId="6" fontId="49" fillId="0" borderId="0" xfId="0" applyNumberFormat="1" applyFont="1" applyAlignment="1">
      <alignment vertical="center"/>
    </xf>
    <xf numFmtId="43" fontId="49" fillId="0" borderId="0" xfId="1" applyFont="1" applyAlignment="1" applyProtection="1">
      <alignment vertical="center"/>
      <protection hidden="1"/>
    </xf>
    <xf numFmtId="0" fontId="48" fillId="0" borderId="0" xfId="0" applyNumberFormat="1" applyFont="1" applyFill="1" applyBorder="1" applyAlignment="1" applyProtection="1">
      <alignment vertical="center"/>
      <protection hidden="1"/>
    </xf>
    <xf numFmtId="0" fontId="48" fillId="0" borderId="0" xfId="0" applyNumberFormat="1" applyFont="1" applyFill="1" applyBorder="1" applyAlignment="1" applyProtection="1">
      <alignment vertical="center"/>
    </xf>
    <xf numFmtId="43" fontId="48" fillId="0" borderId="0" xfId="1" applyFont="1" applyFill="1" applyBorder="1" applyAlignment="1" applyProtection="1">
      <alignment vertical="center"/>
      <protection hidden="1"/>
    </xf>
    <xf numFmtId="0" fontId="42" fillId="0" borderId="0" xfId="0" applyNumberFormat="1" applyFont="1" applyAlignment="1">
      <alignment vertical="center"/>
    </xf>
    <xf numFmtId="0" fontId="5" fillId="0" borderId="11" xfId="0" applyNumberFormat="1" applyFont="1" applyFill="1" applyBorder="1" applyAlignment="1" applyProtection="1"/>
    <xf numFmtId="0" fontId="1" fillId="0" borderId="11" xfId="0" applyNumberFormat="1" applyFont="1" applyFill="1" applyBorder="1" applyAlignment="1" applyProtection="1">
      <alignment horizontal="right"/>
    </xf>
    <xf numFmtId="0" fontId="56" fillId="0" borderId="0" xfId="0" applyFont="1" applyAlignment="1" applyProtection="1">
      <alignment vertical="center"/>
      <protection hidden="1"/>
    </xf>
    <xf numFmtId="0" fontId="57" fillId="0" borderId="0" xfId="0" applyFont="1" applyAlignment="1" applyProtection="1">
      <alignment vertical="center"/>
      <protection hidden="1"/>
    </xf>
    <xf numFmtId="10" fontId="46" fillId="8" borderId="51" xfId="4" applyNumberFormat="1" applyFont="1" applyFill="1" applyBorder="1" applyAlignment="1" applyProtection="1">
      <alignment horizontal="center" vertical="center"/>
      <protection locked="0"/>
    </xf>
    <xf numFmtId="10" fontId="46" fillId="9" borderId="51" xfId="4" applyNumberFormat="1" applyFont="1" applyFill="1" applyBorder="1" applyAlignment="1" applyProtection="1">
      <alignment horizontal="center" vertical="center"/>
      <protection locked="0"/>
    </xf>
    <xf numFmtId="44" fontId="42" fillId="0" borderId="0" xfId="2" applyFont="1" applyAlignment="1" applyProtection="1">
      <alignment vertical="center"/>
      <protection hidden="1"/>
    </xf>
    <xf numFmtId="0" fontId="50" fillId="8" borderId="16" xfId="0" applyNumberFormat="1" applyFont="1" applyFill="1" applyBorder="1" applyAlignment="1" applyProtection="1">
      <alignment horizontal="right"/>
    </xf>
    <xf numFmtId="0" fontId="51" fillId="0" borderId="0" xfId="0" applyNumberFormat="1" applyFont="1" applyFill="1" applyBorder="1" applyAlignment="1" applyProtection="1">
      <alignment horizontal="right"/>
    </xf>
    <xf numFmtId="14" fontId="51" fillId="0" borderId="0" xfId="1" applyNumberFormat="1" applyFont="1" applyBorder="1" applyAlignment="1" applyProtection="1">
      <alignment horizontal="center"/>
    </xf>
    <xf numFmtId="0" fontId="58" fillId="0" borderId="0" xfId="0" applyNumberFormat="1" applyFont="1" applyFill="1" applyBorder="1" applyAlignment="1" applyProtection="1"/>
    <xf numFmtId="164" fontId="59" fillId="0" borderId="0" xfId="0" applyNumberFormat="1" applyFont="1" applyBorder="1" applyProtection="1"/>
    <xf numFmtId="2" fontId="0" fillId="0" borderId="0" xfId="0" applyNumberFormat="1" applyAlignment="1">
      <alignment vertical="center"/>
    </xf>
    <xf numFmtId="166" fontId="0" fillId="0" borderId="0" xfId="2" applyNumberFormat="1" applyFont="1" applyAlignment="1">
      <alignment vertical="center"/>
    </xf>
    <xf numFmtId="9" fontId="0" fillId="0" borderId="0" xfId="4" applyFont="1" applyAlignment="1">
      <alignment vertical="center"/>
    </xf>
    <xf numFmtId="0" fontId="1" fillId="0" borderId="0" xfId="0" applyFont="1" applyAlignment="1">
      <alignment vertical="center"/>
    </xf>
    <xf numFmtId="43" fontId="0" fillId="0" borderId="0" xfId="1" applyFont="1" applyAlignment="1">
      <alignment vertical="center"/>
    </xf>
    <xf numFmtId="6" fontId="0" fillId="0" borderId="0" xfId="2" applyNumberFormat="1" applyFont="1" applyAlignment="1">
      <alignment vertical="center"/>
    </xf>
    <xf numFmtId="169" fontId="0" fillId="0" borderId="0" xfId="4" applyNumberFormat="1" applyFont="1" applyAlignment="1">
      <alignment vertical="center"/>
    </xf>
    <xf numFmtId="0" fontId="1" fillId="0" borderId="0" xfId="0" applyFont="1" applyAlignment="1"/>
    <xf numFmtId="2" fontId="42" fillId="0" borderId="0" xfId="0" applyNumberFormat="1" applyFont="1" applyAlignment="1" applyProtection="1">
      <alignment vertical="center"/>
      <protection hidden="1"/>
    </xf>
    <xf numFmtId="9" fontId="42" fillId="0" borderId="0" xfId="4" applyFont="1" applyAlignment="1" applyProtection="1">
      <alignment vertical="center"/>
      <protection hidden="1"/>
    </xf>
    <xf numFmtId="9" fontId="42" fillId="0" borderId="0" xfId="0" applyNumberFormat="1" applyFont="1" applyAlignment="1" applyProtection="1">
      <alignment vertical="center"/>
      <protection hidden="1"/>
    </xf>
    <xf numFmtId="2" fontId="42" fillId="0" borderId="0" xfId="0" applyNumberFormat="1" applyFont="1" applyProtection="1">
      <protection hidden="1"/>
    </xf>
    <xf numFmtId="169" fontId="42" fillId="0" borderId="0" xfId="4" applyNumberFormat="1" applyFont="1" applyAlignment="1" applyProtection="1">
      <alignment vertical="center"/>
      <protection hidden="1"/>
    </xf>
    <xf numFmtId="9" fontId="0" fillId="0" borderId="0" xfId="4" applyFont="1"/>
    <xf numFmtId="169" fontId="0" fillId="0" borderId="0" xfId="4" applyNumberFormat="1" applyFont="1"/>
    <xf numFmtId="43" fontId="0" fillId="0" borderId="0" xfId="0" applyNumberFormat="1"/>
    <xf numFmtId="0" fontId="1" fillId="0" borderId="0" xfId="0" applyFont="1" applyAlignment="1">
      <alignment horizontal="left" vertical="center" wrapText="1"/>
    </xf>
    <xf numFmtId="0" fontId="42" fillId="0" borderId="0" xfId="0" applyFont="1"/>
    <xf numFmtId="0" fontId="42" fillId="0" borderId="0" xfId="0" applyFont="1" applyFill="1" applyProtection="1">
      <protection hidden="1"/>
    </xf>
    <xf numFmtId="44" fontId="42" fillId="0" borderId="0" xfId="2" applyFont="1" applyFill="1" applyProtection="1">
      <protection hidden="1"/>
    </xf>
    <xf numFmtId="44" fontId="42" fillId="0" borderId="0" xfId="0" applyNumberFormat="1" applyFont="1" applyFill="1" applyProtection="1">
      <protection hidden="1"/>
    </xf>
    <xf numFmtId="164" fontId="4" fillId="0" borderId="34" xfId="0" applyNumberFormat="1" applyFont="1" applyBorder="1" applyProtection="1">
      <protection hidden="1"/>
    </xf>
    <xf numFmtId="164" fontId="4" fillId="0" borderId="37" xfId="0" applyNumberFormat="1" applyFont="1" applyBorder="1" applyProtection="1">
      <protection hidden="1"/>
    </xf>
    <xf numFmtId="0" fontId="1" fillId="0" borderId="55" xfId="0" applyNumberFormat="1" applyFont="1" applyFill="1" applyBorder="1" applyAlignment="1" applyProtection="1">
      <alignment horizontal="right"/>
    </xf>
    <xf numFmtId="0" fontId="21" fillId="0" borderId="9" xfId="0" applyNumberFormat="1" applyFont="1" applyFill="1" applyBorder="1" applyAlignment="1" applyProtection="1">
      <alignment horizontal="right" vertical="center"/>
    </xf>
    <xf numFmtId="0" fontId="27" fillId="0" borderId="0" xfId="1" applyNumberFormat="1" applyFont="1" applyBorder="1" applyAlignment="1" applyProtection="1">
      <alignment horizontal="center"/>
      <protection hidden="1"/>
    </xf>
    <xf numFmtId="0" fontId="27" fillId="0" borderId="10" xfId="1" applyNumberFormat="1" applyFont="1" applyBorder="1" applyAlignment="1" applyProtection="1">
      <alignment horizontal="center"/>
      <protection hidden="1"/>
    </xf>
    <xf numFmtId="166" fontId="9" fillId="0" borderId="0" xfId="0" applyNumberFormat="1" applyFont="1" applyFill="1" applyBorder="1" applyAlignment="1" applyProtection="1">
      <protection hidden="1"/>
    </xf>
    <xf numFmtId="166" fontId="9" fillId="0" borderId="10" xfId="0" applyNumberFormat="1" applyFont="1" applyFill="1" applyBorder="1" applyAlignment="1" applyProtection="1">
      <protection hidden="1"/>
    </xf>
    <xf numFmtId="0" fontId="17" fillId="0" borderId="9" xfId="0" applyNumberFormat="1" applyFont="1" applyFill="1" applyBorder="1" applyAlignment="1" applyProtection="1">
      <alignment horizontal="center"/>
    </xf>
    <xf numFmtId="164" fontId="3" fillId="0" borderId="11" xfId="0" applyNumberFormat="1" applyFont="1" applyBorder="1" applyAlignment="1">
      <alignment horizontal="left"/>
    </xf>
    <xf numFmtId="166" fontId="9" fillId="0" borderId="13" xfId="0" applyNumberFormat="1" applyFont="1" applyFill="1" applyBorder="1" applyAlignment="1" applyProtection="1">
      <protection hidden="1"/>
    </xf>
    <xf numFmtId="0" fontId="0" fillId="0" borderId="0" xfId="2" applyNumberFormat="1" applyFont="1"/>
    <xf numFmtId="0" fontId="60" fillId="0" borderId="0" xfId="0" applyFont="1"/>
    <xf numFmtId="0" fontId="1" fillId="0" borderId="0" xfId="0" quotePrefix="1" applyFont="1"/>
    <xf numFmtId="171" fontId="0" fillId="0" borderId="0" xfId="1" applyNumberFormat="1" applyFont="1"/>
    <xf numFmtId="0" fontId="57" fillId="0" borderId="0" xfId="0" applyFont="1"/>
    <xf numFmtId="0" fontId="62" fillId="0" borderId="0" xfId="0" applyFont="1" applyAlignment="1"/>
    <xf numFmtId="0" fontId="42" fillId="0" borderId="0" xfId="0" applyFont="1" applyAlignment="1"/>
    <xf numFmtId="169" fontId="42" fillId="0" borderId="0" xfId="0" applyNumberFormat="1" applyFont="1" applyAlignment="1" applyProtection="1">
      <alignment vertical="center"/>
      <protection hidden="1"/>
    </xf>
    <xf numFmtId="0" fontId="47" fillId="9" borderId="70" xfId="0" applyNumberFormat="1" applyFont="1" applyFill="1" applyBorder="1" applyAlignment="1" applyProtection="1">
      <alignment horizontal="right"/>
      <protection locked="0"/>
    </xf>
    <xf numFmtId="0" fontId="47" fillId="8" borderId="70" xfId="0" applyNumberFormat="1" applyFont="1" applyFill="1" applyBorder="1" applyAlignment="1" applyProtection="1">
      <alignment horizontal="right"/>
      <protection locked="0"/>
    </xf>
    <xf numFmtId="0" fontId="47" fillId="9" borderId="52" xfId="0" applyNumberFormat="1" applyFont="1" applyFill="1" applyBorder="1" applyAlignment="1" applyProtection="1">
      <alignment horizontal="right"/>
      <protection locked="0"/>
    </xf>
    <xf numFmtId="0" fontId="47" fillId="8" borderId="52" xfId="0" applyNumberFormat="1" applyFont="1" applyFill="1" applyBorder="1" applyAlignment="1" applyProtection="1">
      <alignment horizontal="right"/>
      <protection locked="0"/>
    </xf>
    <xf numFmtId="0" fontId="47" fillId="8" borderId="51" xfId="0" applyNumberFormat="1" applyFont="1" applyFill="1" applyBorder="1" applyAlignment="1" applyProtection="1">
      <alignment horizontal="right"/>
      <protection locked="0"/>
    </xf>
    <xf numFmtId="0" fontId="1" fillId="0" borderId="0" xfId="0" applyFont="1" applyBorder="1" applyProtection="1">
      <protection hidden="1"/>
    </xf>
    <xf numFmtId="0" fontId="4" fillId="0" borderId="50" xfId="0" applyNumberFormat="1" applyFont="1" applyFill="1" applyBorder="1" applyAlignment="1" applyProtection="1"/>
    <xf numFmtId="0" fontId="4" fillId="0" borderId="10" xfId="0" applyNumberFormat="1" applyFont="1" applyFill="1" applyBorder="1" applyAlignment="1" applyProtection="1"/>
    <xf numFmtId="0" fontId="17" fillId="0" borderId="10" xfId="0" applyNumberFormat="1" applyFont="1" applyFill="1" applyBorder="1" applyAlignment="1" applyProtection="1">
      <alignment horizontal="left"/>
    </xf>
    <xf numFmtId="0" fontId="5" fillId="0" borderId="10" xfId="0" applyNumberFormat="1" applyFont="1" applyFill="1" applyBorder="1" applyAlignment="1" applyProtection="1">
      <alignment horizontal="left"/>
    </xf>
    <xf numFmtId="164" fontId="5" fillId="0" borderId="72" xfId="0" applyNumberFormat="1" applyFont="1" applyBorder="1" applyAlignment="1">
      <alignment horizontal="center"/>
    </xf>
    <xf numFmtId="0" fontId="5" fillId="0" borderId="72" xfId="0" applyFont="1" applyBorder="1" applyAlignment="1" applyProtection="1">
      <alignment horizontal="center"/>
      <protection locked="0"/>
    </xf>
    <xf numFmtId="0" fontId="5" fillId="0" borderId="72" xfId="0" applyNumberFormat="1" applyFont="1" applyFill="1" applyBorder="1" applyAlignment="1" applyProtection="1">
      <alignment horizontal="center"/>
    </xf>
    <xf numFmtId="0" fontId="5" fillId="0" borderId="73" xfId="0" applyNumberFormat="1" applyFont="1" applyFill="1" applyBorder="1" applyAlignment="1" applyProtection="1">
      <alignment horizontal="center"/>
    </xf>
    <xf numFmtId="166" fontId="1" fillId="0" borderId="63" xfId="2" applyNumberFormat="1" applyFont="1" applyFill="1" applyBorder="1" applyAlignment="1" applyProtection="1">
      <alignment horizontal="center"/>
    </xf>
    <xf numFmtId="166" fontId="4" fillId="0" borderId="63" xfId="0" applyNumberFormat="1" applyFont="1" applyFill="1" applyBorder="1" applyAlignment="1" applyProtection="1"/>
    <xf numFmtId="164" fontId="4" fillId="0" borderId="63" xfId="0" applyNumberFormat="1" applyFont="1" applyBorder="1" applyAlignment="1">
      <alignment horizontal="right"/>
    </xf>
    <xf numFmtId="166" fontId="4" fillId="0" borderId="74" xfId="0" applyNumberFormat="1" applyFont="1" applyFill="1" applyBorder="1" applyAlignment="1" applyProtection="1"/>
    <xf numFmtId="166" fontId="4" fillId="0" borderId="75" xfId="0" applyNumberFormat="1" applyFont="1" applyFill="1" applyBorder="1" applyAlignment="1" applyProtection="1"/>
    <xf numFmtId="164" fontId="5" fillId="0" borderId="76" xfId="0" applyNumberFormat="1" applyFont="1" applyBorder="1" applyAlignment="1">
      <alignment horizontal="center"/>
    </xf>
    <xf numFmtId="164" fontId="4" fillId="14" borderId="13" xfId="0" applyNumberFormat="1" applyFont="1" applyFill="1" applyBorder="1" applyAlignment="1">
      <alignment horizontal="center"/>
    </xf>
    <xf numFmtId="166" fontId="4" fillId="0" borderId="13" xfId="0" applyNumberFormat="1" applyFont="1" applyFill="1" applyBorder="1" applyAlignment="1" applyProtection="1"/>
    <xf numFmtId="164" fontId="4" fillId="0" borderId="13" xfId="0" applyNumberFormat="1" applyFont="1" applyBorder="1" applyAlignment="1">
      <alignment horizontal="right"/>
    </xf>
    <xf numFmtId="166" fontId="4" fillId="0" borderId="57" xfId="0" applyNumberFormat="1" applyFont="1" applyFill="1" applyBorder="1" applyAlignment="1" applyProtection="1"/>
    <xf numFmtId="0" fontId="4" fillId="0" borderId="63" xfId="0" applyNumberFormat="1" applyFont="1" applyFill="1" applyBorder="1" applyAlignment="1" applyProtection="1">
      <alignment horizontal="center"/>
    </xf>
    <xf numFmtId="0" fontId="17" fillId="0" borderId="72" xfId="0" applyNumberFormat="1" applyFont="1" applyFill="1" applyBorder="1" applyAlignment="1" applyProtection="1">
      <alignment horizontal="center"/>
    </xf>
    <xf numFmtId="0" fontId="4" fillId="0" borderId="63" xfId="0" applyNumberFormat="1" applyFont="1" applyFill="1" applyBorder="1" applyAlignment="1" applyProtection="1">
      <alignment horizontal="right"/>
    </xf>
    <xf numFmtId="0" fontId="4" fillId="0" borderId="31" xfId="0" applyNumberFormat="1" applyFont="1" applyFill="1" applyBorder="1" applyAlignment="1" applyProtection="1"/>
    <xf numFmtId="0" fontId="4" fillId="0" borderId="32" xfId="0" applyNumberFormat="1" applyFont="1" applyFill="1" applyBorder="1" applyAlignment="1" applyProtection="1"/>
    <xf numFmtId="5" fontId="5" fillId="0" borderId="56" xfId="0" applyNumberFormat="1" applyFont="1" applyFill="1" applyBorder="1" applyAlignment="1" applyProtection="1">
      <alignment horizontal="right"/>
    </xf>
    <xf numFmtId="5" fontId="5" fillId="0" borderId="54" xfId="0" applyNumberFormat="1" applyFont="1" applyFill="1" applyBorder="1" applyAlignment="1" applyProtection="1">
      <alignment horizontal="right"/>
    </xf>
    <xf numFmtId="1" fontId="4" fillId="0" borderId="58" xfId="1" applyNumberFormat="1" applyFont="1" applyBorder="1" applyAlignment="1" applyProtection="1">
      <alignment horizontal="right"/>
      <protection hidden="1"/>
    </xf>
    <xf numFmtId="1" fontId="4" fillId="0" borderId="57" xfId="1" applyNumberFormat="1" applyFont="1" applyBorder="1" applyAlignment="1" applyProtection="1">
      <alignment horizontal="right"/>
      <protection hidden="1"/>
    </xf>
    <xf numFmtId="1" fontId="4" fillId="0" borderId="59" xfId="1" applyNumberFormat="1" applyFont="1" applyBorder="1" applyAlignment="1" applyProtection="1">
      <alignment horizontal="right"/>
      <protection hidden="1"/>
    </xf>
    <xf numFmtId="0" fontId="1" fillId="0" borderId="25" xfId="0" applyNumberFormat="1" applyFont="1" applyFill="1" applyBorder="1" applyAlignment="1" applyProtection="1">
      <alignment horizontal="right" vertical="top" wrapText="1"/>
    </xf>
    <xf numFmtId="0" fontId="57" fillId="0" borderId="0" xfId="0" applyNumberFormat="1" applyFont="1" applyFill="1" applyBorder="1" applyAlignment="1" applyProtection="1">
      <protection hidden="1"/>
    </xf>
    <xf numFmtId="164" fontId="42" fillId="0" borderId="0" xfId="0" applyNumberFormat="1" applyFont="1"/>
    <xf numFmtId="166" fontId="65" fillId="10" borderId="42" xfId="2" applyNumberFormat="1" applyFont="1" applyFill="1" applyBorder="1"/>
    <xf numFmtId="0" fontId="64" fillId="10" borderId="42" xfId="0" applyFont="1" applyFill="1" applyBorder="1"/>
    <xf numFmtId="0" fontId="64" fillId="11" borderId="42" xfId="0" applyFont="1" applyFill="1" applyBorder="1"/>
    <xf numFmtId="0" fontId="63" fillId="3" borderId="0" xfId="0" applyFont="1" applyFill="1" applyBorder="1" applyAlignment="1">
      <alignment vertical="center"/>
    </xf>
    <xf numFmtId="2" fontId="63" fillId="3" borderId="15" xfId="0" applyNumberFormat="1" applyFont="1" applyFill="1" applyBorder="1"/>
    <xf numFmtId="0" fontId="63" fillId="3" borderId="15" xfId="0" applyFont="1" applyFill="1" applyBorder="1"/>
    <xf numFmtId="0" fontId="64" fillId="10" borderId="16" xfId="0" applyFont="1" applyFill="1" applyBorder="1" applyAlignment="1">
      <alignment vertical="center"/>
    </xf>
    <xf numFmtId="2" fontId="64" fillId="10" borderId="43" xfId="0" applyNumberFormat="1" applyFont="1" applyFill="1" applyBorder="1"/>
    <xf numFmtId="0" fontId="64" fillId="10" borderId="43" xfId="0" applyFont="1" applyFill="1" applyBorder="1"/>
    <xf numFmtId="9" fontId="46" fillId="10" borderId="43" xfId="4" applyNumberFormat="1" applyFont="1" applyFill="1" applyBorder="1" applyAlignment="1">
      <alignment wrapText="1"/>
    </xf>
    <xf numFmtId="43" fontId="46" fillId="10" borderId="43" xfId="1" applyNumberFormat="1" applyFont="1" applyFill="1" applyBorder="1"/>
    <xf numFmtId="0" fontId="64" fillId="11" borderId="44" xfId="0" applyFont="1" applyFill="1" applyBorder="1" applyAlignment="1">
      <alignment vertical="center"/>
    </xf>
    <xf numFmtId="169" fontId="64" fillId="11" borderId="42" xfId="4" applyNumberFormat="1" applyFont="1" applyFill="1" applyBorder="1"/>
    <xf numFmtId="9" fontId="64" fillId="11" borderId="42" xfId="4" applyNumberFormat="1" applyFont="1" applyFill="1" applyBorder="1"/>
    <xf numFmtId="9" fontId="46" fillId="11" borderId="42" xfId="4" applyNumberFormat="1" applyFont="1" applyFill="1" applyBorder="1"/>
    <xf numFmtId="9" fontId="64" fillId="11" borderId="42" xfId="0" applyNumberFormat="1" applyFont="1" applyFill="1" applyBorder="1"/>
    <xf numFmtId="9" fontId="46" fillId="11" borderId="42" xfId="1" applyNumberFormat="1" applyFont="1" applyFill="1" applyBorder="1"/>
    <xf numFmtId="43" fontId="64" fillId="11" borderId="42" xfId="1" applyNumberFormat="1" applyFont="1" applyFill="1" applyBorder="1"/>
    <xf numFmtId="0" fontId="46" fillId="10" borderId="44" xfId="0" applyFont="1" applyFill="1" applyBorder="1" applyAlignment="1">
      <alignment vertical="center"/>
    </xf>
    <xf numFmtId="169" fontId="64" fillId="10" borderId="42" xfId="4" applyNumberFormat="1" applyFont="1" applyFill="1" applyBorder="1"/>
    <xf numFmtId="9" fontId="64" fillId="10" borderId="42" xfId="4" applyNumberFormat="1" applyFont="1" applyFill="1" applyBorder="1"/>
    <xf numFmtId="9" fontId="46" fillId="10" borderId="42" xfId="4" applyNumberFormat="1" applyFont="1" applyFill="1" applyBorder="1"/>
    <xf numFmtId="9" fontId="64" fillId="10" borderId="42" xfId="0" applyNumberFormat="1" applyFont="1" applyFill="1" applyBorder="1"/>
    <xf numFmtId="9" fontId="46" fillId="10" borderId="42" xfId="1" applyNumberFormat="1" applyFont="1" applyFill="1" applyBorder="1"/>
    <xf numFmtId="43" fontId="64" fillId="10" borderId="42" xfId="1" applyNumberFormat="1" applyFont="1" applyFill="1" applyBorder="1"/>
    <xf numFmtId="0" fontId="46" fillId="11" borderId="44" xfId="0" applyFont="1" applyFill="1" applyBorder="1" applyAlignment="1">
      <alignment vertical="center"/>
    </xf>
    <xf numFmtId="169" fontId="46" fillId="11" borderId="42" xfId="4" applyNumberFormat="1" applyFont="1" applyFill="1" applyBorder="1"/>
    <xf numFmtId="2" fontId="64" fillId="10" borderId="42" xfId="0" applyNumberFormat="1" applyFont="1" applyFill="1" applyBorder="1"/>
    <xf numFmtId="169" fontId="46" fillId="10" borderId="42" xfId="4" applyNumberFormat="1" applyFont="1" applyFill="1" applyBorder="1"/>
    <xf numFmtId="9" fontId="46" fillId="11" borderId="42" xfId="0" applyNumberFormat="1" applyFont="1" applyFill="1" applyBorder="1"/>
    <xf numFmtId="43" fontId="46" fillId="11" borderId="42" xfId="1" applyNumberFormat="1" applyFont="1" applyFill="1" applyBorder="1"/>
    <xf numFmtId="9" fontId="46" fillId="10" borderId="42" xfId="0" applyNumberFormat="1" applyFont="1" applyFill="1" applyBorder="1"/>
    <xf numFmtId="43" fontId="46" fillId="10" borderId="42" xfId="1" applyNumberFormat="1" applyFont="1" applyFill="1" applyBorder="1"/>
    <xf numFmtId="9" fontId="46" fillId="11" borderId="42" xfId="4" applyNumberFormat="1" applyFont="1" applyFill="1" applyBorder="1" applyAlignment="1">
      <alignment wrapText="1"/>
    </xf>
    <xf numFmtId="0" fontId="61" fillId="10" borderId="44" xfId="0" applyFont="1" applyFill="1" applyBorder="1" applyAlignment="1">
      <alignment vertical="center"/>
    </xf>
    <xf numFmtId="2" fontId="61" fillId="10" borderId="42" xfId="0" applyNumberFormat="1" applyFont="1" applyFill="1" applyBorder="1"/>
    <xf numFmtId="0" fontId="61" fillId="10" borderId="42" xfId="0" applyFont="1" applyFill="1" applyBorder="1"/>
    <xf numFmtId="9" fontId="61" fillId="10" borderId="42" xfId="4" applyNumberFormat="1" applyFont="1" applyFill="1" applyBorder="1"/>
    <xf numFmtId="43" fontId="61" fillId="10" borderId="42" xfId="1" applyNumberFormat="1" applyFont="1" applyFill="1" applyBorder="1"/>
    <xf numFmtId="169" fontId="61" fillId="10" borderId="42" xfId="4" applyNumberFormat="1" applyFont="1" applyFill="1" applyBorder="1"/>
    <xf numFmtId="9" fontId="61" fillId="10" borderId="42" xfId="0" applyNumberFormat="1" applyFont="1" applyFill="1" applyBorder="1"/>
    <xf numFmtId="0" fontId="64" fillId="11" borderId="44" xfId="0" applyFont="1" applyFill="1" applyBorder="1"/>
    <xf numFmtId="0" fontId="64" fillId="10" borderId="16" xfId="0" applyFont="1" applyFill="1" applyBorder="1"/>
    <xf numFmtId="0" fontId="64" fillId="10" borderId="44" xfId="0" applyFont="1" applyFill="1" applyBorder="1"/>
    <xf numFmtId="166" fontId="64" fillId="11" borderId="42" xfId="0" applyNumberFormat="1" applyFont="1" applyFill="1" applyBorder="1"/>
    <xf numFmtId="166" fontId="64" fillId="10" borderId="42" xfId="0" applyNumberFormat="1" applyFont="1" applyFill="1" applyBorder="1"/>
    <xf numFmtId="0" fontId="63" fillId="3" borderId="0" xfId="0" applyFont="1" applyFill="1" applyBorder="1"/>
    <xf numFmtId="166" fontId="63" fillId="3" borderId="15" xfId="2" applyNumberFormat="1" applyFont="1" applyFill="1" applyBorder="1"/>
    <xf numFmtId="166" fontId="64" fillId="10" borderId="43" xfId="2" applyNumberFormat="1" applyFont="1" applyFill="1" applyBorder="1"/>
    <xf numFmtId="166" fontId="64" fillId="11" borderId="42" xfId="2" applyNumberFormat="1" applyFont="1" applyFill="1" applyBorder="1"/>
    <xf numFmtId="5" fontId="64" fillId="10" borderId="44" xfId="0" applyNumberFormat="1" applyFont="1" applyFill="1" applyBorder="1"/>
    <xf numFmtId="166" fontId="64" fillId="10" borderId="42" xfId="2" applyNumberFormat="1" applyFont="1" applyFill="1" applyBorder="1"/>
    <xf numFmtId="166" fontId="65" fillId="11" borderId="42" xfId="2" applyNumberFormat="1" applyFont="1" applyFill="1" applyBorder="1"/>
    <xf numFmtId="0" fontId="49" fillId="0" borderId="0" xfId="0" applyFont="1" applyFill="1" applyBorder="1"/>
    <xf numFmtId="166" fontId="63" fillId="0" borderId="0" xfId="2" applyNumberFormat="1" applyFont="1" applyFill="1" applyBorder="1"/>
    <xf numFmtId="166" fontId="64" fillId="0" borderId="0" xfId="2" applyNumberFormat="1" applyFont="1" applyFill="1" applyBorder="1"/>
    <xf numFmtId="166" fontId="65" fillId="0" borderId="0" xfId="2" applyNumberFormat="1" applyFont="1" applyFill="1" applyBorder="1"/>
    <xf numFmtId="0" fontId="64" fillId="0" borderId="0" xfId="0" applyFont="1" applyFill="1" applyBorder="1"/>
    <xf numFmtId="166" fontId="64" fillId="0" borderId="0" xfId="0" applyNumberFormat="1" applyFont="1" applyFill="1" applyBorder="1"/>
    <xf numFmtId="0" fontId="64" fillId="10" borderId="0" xfId="0" applyFont="1" applyFill="1" applyBorder="1"/>
    <xf numFmtId="0" fontId="63" fillId="16" borderId="43" xfId="0" applyFont="1" applyFill="1" applyBorder="1"/>
    <xf numFmtId="0" fontId="63" fillId="16" borderId="43" xfId="0" applyNumberFormat="1" applyFont="1" applyFill="1" applyBorder="1"/>
    <xf numFmtId="0" fontId="49" fillId="16" borderId="0" xfId="0" applyFont="1" applyFill="1" applyBorder="1"/>
    <xf numFmtId="0" fontId="49" fillId="16" borderId="15" xfId="0" applyFont="1" applyFill="1" applyBorder="1"/>
    <xf numFmtId="0" fontId="46" fillId="17" borderId="16" xfId="0" applyNumberFormat="1" applyFont="1" applyFill="1" applyBorder="1" applyAlignment="1">
      <alignment horizontal="center"/>
    </xf>
    <xf numFmtId="164" fontId="46" fillId="17" borderId="43" xfId="0" applyNumberFormat="1" applyFont="1" applyFill="1" applyBorder="1" applyAlignment="1">
      <alignment horizontal="center"/>
    </xf>
    <xf numFmtId="1" fontId="64" fillId="17" borderId="43" xfId="0" applyNumberFormat="1" applyFont="1" applyFill="1" applyBorder="1"/>
    <xf numFmtId="0" fontId="64" fillId="17" borderId="43" xfId="0" applyFont="1" applyFill="1" applyBorder="1"/>
    <xf numFmtId="0" fontId="46" fillId="18" borderId="44" xfId="0" applyNumberFormat="1" applyFont="1" applyFill="1" applyBorder="1" applyAlignment="1">
      <alignment horizontal="center"/>
    </xf>
    <xf numFmtId="0" fontId="64" fillId="18" borderId="42" xfId="0" applyFont="1" applyFill="1" applyBorder="1" applyAlignment="1">
      <alignment horizontal="center"/>
    </xf>
    <xf numFmtId="1" fontId="64" fillId="18" borderId="42" xfId="0" applyNumberFormat="1" applyFont="1" applyFill="1" applyBorder="1"/>
    <xf numFmtId="0" fontId="64" fillId="18" borderId="42" xfId="0" applyFont="1" applyFill="1" applyBorder="1"/>
    <xf numFmtId="0" fontId="46" fillId="17" borderId="44" xfId="0" applyNumberFormat="1" applyFont="1" applyFill="1" applyBorder="1" applyAlignment="1">
      <alignment horizontal="center"/>
    </xf>
    <xf numFmtId="0" fontId="46" fillId="17" borderId="42" xfId="0" applyNumberFormat="1" applyFont="1" applyFill="1" applyBorder="1" applyAlignment="1">
      <alignment horizontal="center"/>
    </xf>
    <xf numFmtId="1" fontId="64" fillId="17" borderId="42" xfId="0" applyNumberFormat="1" applyFont="1" applyFill="1" applyBorder="1"/>
    <xf numFmtId="0" fontId="64" fillId="17" borderId="42" xfId="0" applyFont="1" applyFill="1" applyBorder="1"/>
    <xf numFmtId="0" fontId="46" fillId="18" borderId="42" xfId="0" applyNumberFormat="1" applyFont="1" applyFill="1" applyBorder="1" applyAlignment="1">
      <alignment horizontal="center"/>
    </xf>
    <xf numFmtId="0" fontId="49" fillId="16" borderId="32" xfId="0" applyNumberFormat="1" applyFont="1" applyFill="1" applyBorder="1" applyAlignment="1">
      <alignment horizontal="center"/>
    </xf>
    <xf numFmtId="0" fontId="49" fillId="16" borderId="77" xfId="0" applyNumberFormat="1" applyFont="1" applyFill="1" applyBorder="1" applyAlignment="1">
      <alignment horizontal="center"/>
    </xf>
    <xf numFmtId="0" fontId="63" fillId="16" borderId="77" xfId="0" applyNumberFormat="1" applyFont="1" applyFill="1" applyBorder="1"/>
    <xf numFmtId="164" fontId="46" fillId="17" borderId="16" xfId="0" applyNumberFormat="1" applyFont="1" applyFill="1" applyBorder="1" applyAlignment="1">
      <alignment horizontal="center"/>
    </xf>
    <xf numFmtId="0" fontId="46" fillId="18" borderId="44" xfId="0" applyFont="1" applyFill="1" applyBorder="1" applyAlignment="1">
      <alignment horizontal="center"/>
    </xf>
    <xf numFmtId="0" fontId="63" fillId="16" borderId="16" xfId="0" applyFont="1" applyFill="1" applyBorder="1"/>
    <xf numFmtId="0" fontId="63" fillId="16" borderId="15" xfId="0" applyFont="1" applyFill="1" applyBorder="1"/>
    <xf numFmtId="0" fontId="63" fillId="3" borderId="43" xfId="0" applyNumberFormat="1" applyFont="1" applyFill="1" applyBorder="1"/>
    <xf numFmtId="0" fontId="63" fillId="3" borderId="43" xfId="0" applyFont="1" applyFill="1" applyBorder="1"/>
    <xf numFmtId="0" fontId="46" fillId="10" borderId="16" xfId="0" applyNumberFormat="1" applyFont="1" applyFill="1" applyBorder="1" applyAlignment="1">
      <alignment horizontal="center"/>
    </xf>
    <xf numFmtId="164" fontId="46" fillId="10" borderId="43" xfId="0" applyNumberFormat="1" applyFont="1" applyFill="1" applyBorder="1" applyAlignment="1">
      <alignment horizontal="center"/>
    </xf>
    <xf numFmtId="1" fontId="64" fillId="10" borderId="43" xfId="0" applyNumberFormat="1" applyFont="1" applyFill="1" applyBorder="1"/>
    <xf numFmtId="0" fontId="46" fillId="11" borderId="44" xfId="0" applyNumberFormat="1" applyFont="1" applyFill="1" applyBorder="1" applyAlignment="1">
      <alignment horizontal="center"/>
    </xf>
    <xf numFmtId="0" fontId="64" fillId="11" borderId="42" xfId="0" applyFont="1" applyFill="1" applyBorder="1" applyAlignment="1">
      <alignment horizontal="center"/>
    </xf>
    <xf numFmtId="1" fontId="64" fillId="11" borderId="42" xfId="0" applyNumberFormat="1" applyFont="1" applyFill="1" applyBorder="1"/>
    <xf numFmtId="0" fontId="46" fillId="10" borderId="44" xfId="0" applyNumberFormat="1" applyFont="1" applyFill="1" applyBorder="1" applyAlignment="1">
      <alignment horizontal="center"/>
    </xf>
    <xf numFmtId="0" fontId="46" fillId="10" borderId="42" xfId="0" applyNumberFormat="1" applyFont="1" applyFill="1" applyBorder="1" applyAlignment="1">
      <alignment horizontal="center"/>
    </xf>
    <xf numFmtId="1" fontId="64" fillId="10" borderId="42" xfId="0" applyNumberFormat="1" applyFont="1" applyFill="1" applyBorder="1"/>
    <xf numFmtId="0" fontId="46" fillId="11" borderId="42" xfId="0" applyNumberFormat="1" applyFont="1" applyFill="1" applyBorder="1" applyAlignment="1">
      <alignment horizontal="center"/>
    </xf>
    <xf numFmtId="0" fontId="49" fillId="3" borderId="32" xfId="0" applyNumberFormat="1" applyFont="1" applyFill="1" applyBorder="1" applyAlignment="1">
      <alignment horizontal="center"/>
    </xf>
    <xf numFmtId="0" fontId="49" fillId="3" borderId="77" xfId="0" applyNumberFormat="1" applyFont="1" applyFill="1" applyBorder="1" applyAlignment="1">
      <alignment horizontal="center"/>
    </xf>
    <xf numFmtId="0" fontId="63" fillId="3" borderId="77" xfId="0" applyNumberFormat="1" applyFont="1" applyFill="1" applyBorder="1"/>
    <xf numFmtId="164" fontId="46" fillId="10" borderId="16" xfId="0" applyNumberFormat="1" applyFont="1" applyFill="1" applyBorder="1" applyAlignment="1">
      <alignment horizontal="center"/>
    </xf>
    <xf numFmtId="0" fontId="46" fillId="11" borderId="44" xfId="0" applyFont="1" applyFill="1" applyBorder="1" applyAlignment="1">
      <alignment horizontal="center"/>
    </xf>
    <xf numFmtId="0" fontId="63" fillId="3" borderId="16" xfId="0" applyFont="1" applyFill="1" applyBorder="1"/>
    <xf numFmtId="164" fontId="46" fillId="10" borderId="77" xfId="0" applyNumberFormat="1" applyFont="1" applyFill="1" applyBorder="1" applyAlignment="1">
      <alignment horizontal="center"/>
    </xf>
    <xf numFmtId="0" fontId="64" fillId="11" borderId="78" xfId="0" applyFont="1" applyFill="1" applyBorder="1" applyAlignment="1">
      <alignment horizontal="center"/>
    </xf>
    <xf numFmtId="0" fontId="46" fillId="10" borderId="78" xfId="0" applyNumberFormat="1" applyFont="1" applyFill="1" applyBorder="1" applyAlignment="1">
      <alignment horizontal="center"/>
    </xf>
    <xf numFmtId="0" fontId="46" fillId="11" borderId="78" xfId="0" applyNumberFormat="1" applyFont="1" applyFill="1" applyBorder="1" applyAlignment="1">
      <alignment horizontal="center"/>
    </xf>
    <xf numFmtId="164" fontId="46" fillId="10" borderId="31" xfId="0" applyNumberFormat="1" applyFont="1" applyFill="1" applyBorder="1" applyAlignment="1">
      <alignment horizontal="center"/>
    </xf>
    <xf numFmtId="0" fontId="64" fillId="10" borderId="77" xfId="0" applyFont="1" applyFill="1" applyBorder="1"/>
    <xf numFmtId="0" fontId="64" fillId="11" borderId="79" xfId="0" applyFont="1" applyFill="1" applyBorder="1" applyAlignment="1">
      <alignment horizontal="center"/>
    </xf>
    <xf numFmtId="0" fontId="64" fillId="11" borderId="78" xfId="0" applyFont="1" applyFill="1" applyBorder="1"/>
    <xf numFmtId="0" fontId="46" fillId="10" borderId="79" xfId="0" applyNumberFormat="1" applyFont="1" applyFill="1" applyBorder="1" applyAlignment="1">
      <alignment horizontal="center"/>
    </xf>
    <xf numFmtId="0" fontId="64" fillId="10" borderId="78" xfId="0" applyFont="1" applyFill="1" applyBorder="1"/>
    <xf numFmtId="0" fontId="46" fillId="11" borderId="79" xfId="0" applyNumberFormat="1" applyFont="1" applyFill="1" applyBorder="1" applyAlignment="1">
      <alignment horizontal="center"/>
    </xf>
    <xf numFmtId="0" fontId="64" fillId="11" borderId="80" xfId="0" applyFont="1" applyFill="1" applyBorder="1"/>
    <xf numFmtId="0" fontId="49" fillId="3" borderId="79" xfId="0" applyNumberFormat="1" applyFont="1" applyFill="1" applyBorder="1" applyAlignment="1">
      <alignment horizontal="center"/>
    </xf>
    <xf numFmtId="0" fontId="46" fillId="11" borderId="81" xfId="0" applyFont="1" applyFill="1" applyBorder="1" applyAlignment="1">
      <alignment horizontal="center"/>
    </xf>
    <xf numFmtId="0" fontId="46" fillId="10" borderId="81" xfId="0" applyNumberFormat="1" applyFont="1" applyFill="1" applyBorder="1" applyAlignment="1">
      <alignment horizontal="center"/>
    </xf>
    <xf numFmtId="0" fontId="46" fillId="11" borderId="81" xfId="0" applyNumberFormat="1" applyFont="1" applyFill="1" applyBorder="1" applyAlignment="1">
      <alignment horizontal="center"/>
    </xf>
    <xf numFmtId="0" fontId="49" fillId="3" borderId="9" xfId="0" applyNumberFormat="1" applyFont="1" applyFill="1" applyBorder="1" applyAlignment="1">
      <alignment horizontal="right" wrapText="1"/>
    </xf>
    <xf numFmtId="166" fontId="49" fillId="3" borderId="15" xfId="1" applyNumberFormat="1" applyFont="1" applyFill="1" applyBorder="1"/>
    <xf numFmtId="166" fontId="49" fillId="3" borderId="9" xfId="1" applyNumberFormat="1" applyFont="1" applyFill="1" applyBorder="1"/>
    <xf numFmtId="0" fontId="49" fillId="3" borderId="82" xfId="0" applyFont="1" applyFill="1" applyBorder="1"/>
    <xf numFmtId="5" fontId="46" fillId="10" borderId="77" xfId="0" applyNumberFormat="1" applyFont="1" applyFill="1" applyBorder="1" applyAlignment="1">
      <alignment horizontal="right" wrapText="1"/>
    </xf>
    <xf numFmtId="166" fontId="46" fillId="10" borderId="43" xfId="2" applyNumberFormat="1" applyFont="1" applyFill="1" applyBorder="1"/>
    <xf numFmtId="166" fontId="46" fillId="10" borderId="77" xfId="1" applyNumberFormat="1" applyFont="1" applyFill="1" applyBorder="1"/>
    <xf numFmtId="0" fontId="46" fillId="10" borderId="83" xfId="2" applyNumberFormat="1" applyFont="1" applyFill="1" applyBorder="1"/>
    <xf numFmtId="0" fontId="46" fillId="11" borderId="44" xfId="0" applyNumberFormat="1" applyFont="1" applyFill="1" applyBorder="1" applyAlignment="1">
      <alignment horizontal="right" wrapText="1"/>
    </xf>
    <xf numFmtId="166" fontId="46" fillId="11" borderId="42" xfId="1" applyNumberFormat="1" applyFont="1" applyFill="1" applyBorder="1"/>
    <xf numFmtId="166" fontId="46" fillId="11" borderId="78" xfId="1" applyNumberFormat="1" applyFont="1" applyFill="1" applyBorder="1"/>
    <xf numFmtId="166" fontId="46" fillId="11" borderId="42" xfId="2" applyNumberFormat="1" applyFont="1" applyFill="1" applyBorder="1"/>
    <xf numFmtId="0" fontId="46" fillId="11" borderId="84" xfId="2" applyNumberFormat="1" applyFont="1" applyFill="1" applyBorder="1"/>
    <xf numFmtId="0" fontId="46" fillId="10" borderId="44" xfId="0" applyNumberFormat="1" applyFont="1" applyFill="1" applyBorder="1" applyAlignment="1">
      <alignment horizontal="right" wrapText="1"/>
    </xf>
    <xf numFmtId="166" fontId="46" fillId="10" borderId="42" xfId="1" applyNumberFormat="1" applyFont="1" applyFill="1" applyBorder="1"/>
    <xf numFmtId="166" fontId="46" fillId="10" borderId="78" xfId="1" applyNumberFormat="1" applyFont="1" applyFill="1" applyBorder="1"/>
    <xf numFmtId="166" fontId="46" fillId="10" borderId="42" xfId="2" applyNumberFormat="1" applyFont="1" applyFill="1" applyBorder="1"/>
    <xf numFmtId="0" fontId="46" fillId="10" borderId="84" xfId="2" applyNumberFormat="1" applyFont="1" applyFill="1" applyBorder="1"/>
    <xf numFmtId="0" fontId="46" fillId="11" borderId="44" xfId="0" applyNumberFormat="1" applyFont="1" applyFill="1" applyBorder="1" applyAlignment="1">
      <alignment horizontal="right"/>
    </xf>
    <xf numFmtId="0" fontId="46" fillId="10" borderId="78" xfId="0" applyNumberFormat="1" applyFont="1" applyFill="1" applyBorder="1" applyAlignment="1">
      <alignment horizontal="right"/>
    </xf>
    <xf numFmtId="5" fontId="46" fillId="11" borderId="78" xfId="0" applyNumberFormat="1" applyFont="1" applyFill="1" applyBorder="1" applyAlignment="1">
      <alignment horizontal="right" wrapText="1"/>
    </xf>
    <xf numFmtId="0" fontId="46" fillId="10" borderId="44" xfId="0" applyNumberFormat="1" applyFont="1" applyFill="1" applyBorder="1" applyAlignment="1">
      <alignment horizontal="right"/>
    </xf>
    <xf numFmtId="5" fontId="46" fillId="11" borderId="44" xfId="0" applyNumberFormat="1" applyFont="1" applyFill="1" applyBorder="1" applyAlignment="1">
      <alignment horizontal="right" wrapText="1"/>
    </xf>
    <xf numFmtId="5" fontId="46" fillId="10" borderId="44" xfId="0" applyNumberFormat="1" applyFont="1" applyFill="1" applyBorder="1" applyAlignment="1">
      <alignment horizontal="right" wrapText="1"/>
    </xf>
    <xf numFmtId="166" fontId="46" fillId="10" borderId="42" xfId="0" applyNumberFormat="1" applyFont="1" applyFill="1" applyBorder="1"/>
    <xf numFmtId="0" fontId="46" fillId="10" borderId="84" xfId="0" applyNumberFormat="1" applyFont="1" applyFill="1" applyBorder="1"/>
    <xf numFmtId="166" fontId="46" fillId="11" borderId="42" xfId="0" applyNumberFormat="1" applyFont="1" applyFill="1" applyBorder="1"/>
    <xf numFmtId="0" fontId="46" fillId="11" borderId="84" xfId="0" applyNumberFormat="1" applyFont="1" applyFill="1" applyBorder="1"/>
    <xf numFmtId="5" fontId="46" fillId="10" borderId="78" xfId="0" applyNumberFormat="1" applyFont="1" applyFill="1" applyBorder="1" applyAlignment="1">
      <alignment horizontal="right" wrapText="1"/>
    </xf>
    <xf numFmtId="0" fontId="46" fillId="10" borderId="78" xfId="0" applyNumberFormat="1" applyFont="1" applyFill="1" applyBorder="1" applyAlignment="1">
      <alignment horizontal="right" wrapText="1"/>
    </xf>
    <xf numFmtId="0" fontId="46" fillId="11" borderId="78" xfId="0" applyNumberFormat="1" applyFont="1" applyFill="1" applyBorder="1" applyAlignment="1">
      <alignment horizontal="right" wrapText="1"/>
    </xf>
    <xf numFmtId="166" fontId="46" fillId="11" borderId="78" xfId="2" applyNumberFormat="1" applyFont="1" applyFill="1" applyBorder="1"/>
    <xf numFmtId="169" fontId="46" fillId="10" borderId="43" xfId="4" applyNumberFormat="1" applyFont="1" applyFill="1" applyBorder="1"/>
    <xf numFmtId="43" fontId="47" fillId="9" borderId="44" xfId="1" applyNumberFormat="1" applyFont="1" applyFill="1" applyBorder="1" applyProtection="1">
      <protection locked="0"/>
    </xf>
    <xf numFmtId="44" fontId="21" fillId="0" borderId="0" xfId="2" applyFont="1" applyBorder="1" applyAlignment="1" applyProtection="1">
      <alignment horizontal="center"/>
      <protection hidden="1"/>
    </xf>
    <xf numFmtId="44" fontId="19" fillId="0" borderId="0" xfId="2" applyFont="1" applyBorder="1" applyProtection="1">
      <protection hidden="1"/>
    </xf>
    <xf numFmtId="44" fontId="19" fillId="0" borderId="0" xfId="2" applyFont="1" applyBorder="1" applyAlignment="1" applyProtection="1">
      <alignment horizontal="center"/>
      <protection hidden="1"/>
    </xf>
    <xf numFmtId="0" fontId="19" fillId="0" borderId="0" xfId="0" applyFont="1" applyBorder="1" applyAlignment="1" applyProtection="1">
      <alignment horizontal="left"/>
      <protection locked="0"/>
    </xf>
    <xf numFmtId="14" fontId="19" fillId="0" borderId="66" xfId="0" applyNumberFormat="1" applyFont="1" applyBorder="1" applyAlignment="1" applyProtection="1">
      <alignment horizontal="center"/>
      <protection locked="0"/>
    </xf>
    <xf numFmtId="43" fontId="47" fillId="8" borderId="43" xfId="2" applyNumberFormat="1" applyFont="1" applyFill="1" applyBorder="1" applyAlignment="1" applyProtection="1">
      <alignment vertical="center"/>
      <protection hidden="1"/>
    </xf>
    <xf numFmtId="43" fontId="47" fillId="9" borderId="42" xfId="2" applyNumberFormat="1" applyFont="1" applyFill="1" applyBorder="1" applyAlignment="1" applyProtection="1">
      <alignment vertical="center"/>
      <protection hidden="1"/>
    </xf>
    <xf numFmtId="43" fontId="47" fillId="8" borderId="42" xfId="2" applyNumberFormat="1" applyFont="1" applyFill="1" applyBorder="1" applyAlignment="1" applyProtection="1">
      <alignment vertical="center"/>
      <protection hidden="1"/>
    </xf>
    <xf numFmtId="43" fontId="1" fillId="8" borderId="43" xfId="0" applyNumberFormat="1" applyFont="1" applyFill="1" applyBorder="1" applyAlignment="1" applyProtection="1">
      <alignment vertical="center"/>
      <protection hidden="1"/>
    </xf>
    <xf numFmtId="43" fontId="46" fillId="8" borderId="43" xfId="2" applyNumberFormat="1" applyFont="1" applyFill="1" applyBorder="1" applyAlignment="1" applyProtection="1">
      <alignment vertical="center"/>
      <protection hidden="1"/>
    </xf>
    <xf numFmtId="43" fontId="1" fillId="9" borderId="42" xfId="0" applyNumberFormat="1" applyFont="1" applyFill="1" applyBorder="1" applyAlignment="1" applyProtection="1">
      <alignment vertical="center"/>
      <protection hidden="1"/>
    </xf>
    <xf numFmtId="43" fontId="46" fillId="9" borderId="42" xfId="2" applyNumberFormat="1" applyFont="1" applyFill="1" applyBorder="1" applyAlignment="1" applyProtection="1">
      <alignment vertical="center"/>
      <protection hidden="1"/>
    </xf>
    <xf numFmtId="43" fontId="1" fillId="8" borderId="42" xfId="0" applyNumberFormat="1" applyFont="1" applyFill="1" applyBorder="1" applyAlignment="1" applyProtection="1">
      <alignment vertical="center"/>
      <protection hidden="1"/>
    </xf>
    <xf numFmtId="43" fontId="46" fillId="8" borderId="42" xfId="2" applyNumberFormat="1" applyFont="1" applyFill="1" applyBorder="1" applyAlignment="1" applyProtection="1">
      <alignment vertical="center"/>
      <protection hidden="1"/>
    </xf>
    <xf numFmtId="166" fontId="1" fillId="8" borderId="43" xfId="0" applyNumberFormat="1" applyFont="1" applyFill="1" applyBorder="1" applyAlignment="1" applyProtection="1">
      <alignment vertical="center"/>
      <protection hidden="1"/>
    </xf>
    <xf numFmtId="166" fontId="1" fillId="9" borderId="42" xfId="0" applyNumberFormat="1" applyFont="1" applyFill="1" applyBorder="1" applyAlignment="1" applyProtection="1">
      <alignment vertical="center"/>
      <protection hidden="1"/>
    </xf>
    <xf numFmtId="166" fontId="1" fillId="8" borderId="42" xfId="0" applyNumberFormat="1" applyFont="1" applyFill="1" applyBorder="1" applyAlignment="1" applyProtection="1">
      <alignment vertical="center"/>
      <protection hidden="1"/>
    </xf>
    <xf numFmtId="166" fontId="5" fillId="0" borderId="0" xfId="0" applyNumberFormat="1" applyFont="1" applyAlignment="1" applyProtection="1">
      <alignment vertical="center"/>
      <protection hidden="1"/>
    </xf>
    <xf numFmtId="0" fontId="43" fillId="0" borderId="0" xfId="0" applyFont="1" applyAlignment="1">
      <alignment horizontal="right"/>
    </xf>
    <xf numFmtId="14" fontId="13" fillId="0" borderId="0" xfId="0" applyNumberFormat="1" applyFont="1" applyFill="1" applyBorder="1" applyAlignment="1" applyProtection="1"/>
    <xf numFmtId="172" fontId="47" fillId="8" borderId="43" xfId="4" applyNumberFormat="1" applyFont="1" applyFill="1" applyBorder="1" applyAlignment="1" applyProtection="1">
      <alignment vertical="center"/>
      <protection locked="0"/>
    </xf>
    <xf numFmtId="172" fontId="47" fillId="9" borderId="42" xfId="4" applyNumberFormat="1" applyFont="1" applyFill="1" applyBorder="1" applyAlignment="1" applyProtection="1">
      <alignment vertical="center"/>
      <protection locked="0"/>
    </xf>
    <xf numFmtId="172" fontId="47" fillId="8" borderId="42" xfId="4" applyNumberFormat="1" applyFont="1" applyFill="1" applyBorder="1" applyAlignment="1" applyProtection="1">
      <alignment vertical="center"/>
      <protection locked="0"/>
    </xf>
    <xf numFmtId="172" fontId="46" fillId="8" borderId="43" xfId="4" applyNumberFormat="1" applyFont="1" applyFill="1" applyBorder="1" applyAlignment="1" applyProtection="1">
      <alignment horizontal="center" vertical="center"/>
      <protection locked="0"/>
    </xf>
    <xf numFmtId="172" fontId="46" fillId="9" borderId="42" xfId="4" applyNumberFormat="1" applyFont="1" applyFill="1" applyBorder="1" applyAlignment="1" applyProtection="1">
      <alignment horizontal="center" vertical="center"/>
      <protection locked="0"/>
    </xf>
    <xf numFmtId="172" fontId="46" fillId="8" borderId="42" xfId="4" applyNumberFormat="1" applyFont="1" applyFill="1" applyBorder="1" applyAlignment="1" applyProtection="1">
      <alignment horizontal="center" vertical="center"/>
      <protection locked="0"/>
    </xf>
    <xf numFmtId="0" fontId="1" fillId="0" borderId="0" xfId="0" applyFont="1" applyAlignment="1">
      <alignment horizontal="center" vertical="top"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165" fontId="0" fillId="0" borderId="0" xfId="0" applyNumberFormat="1" applyAlignment="1">
      <alignment horizontal="center"/>
    </xf>
    <xf numFmtId="0" fontId="18" fillId="0" borderId="0" xfId="0" applyFont="1" applyAlignment="1">
      <alignment horizontal="center"/>
    </xf>
    <xf numFmtId="165" fontId="7" fillId="0" borderId="0" xfId="0" applyNumberFormat="1" applyFont="1" applyFill="1" applyBorder="1" applyAlignment="1" applyProtection="1">
      <alignment horizontal="right"/>
      <protection locked="0"/>
    </xf>
    <xf numFmtId="0" fontId="37" fillId="0" borderId="0" xfId="0" applyNumberFormat="1" applyFont="1" applyFill="1" applyBorder="1" applyAlignment="1" applyProtection="1">
      <alignment horizontal="right"/>
    </xf>
    <xf numFmtId="14" fontId="66" fillId="0" borderId="0" xfId="1" applyNumberFormat="1" applyFont="1" applyBorder="1" applyAlignment="1" applyProtection="1">
      <alignment horizontal="right"/>
    </xf>
    <xf numFmtId="165" fontId="55" fillId="0" borderId="0" xfId="0" applyNumberFormat="1" applyFont="1" applyFill="1" applyBorder="1" applyAlignment="1" applyProtection="1">
      <alignment horizontal="right"/>
      <protection locked="0"/>
    </xf>
    <xf numFmtId="0" fontId="37" fillId="0" borderId="0" xfId="0" applyFont="1" applyAlignment="1">
      <alignment horizontal="right" vertical="center"/>
    </xf>
    <xf numFmtId="0" fontId="37"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wrapText="1"/>
    </xf>
    <xf numFmtId="166" fontId="35" fillId="0" borderId="0" xfId="0" applyNumberFormat="1" applyFont="1" applyAlignment="1">
      <alignment horizontal="center" vertical="center"/>
    </xf>
    <xf numFmtId="0" fontId="36" fillId="0" borderId="0" xfId="0" applyNumberFormat="1" applyFont="1" applyFill="1" applyBorder="1" applyAlignment="1" applyProtection="1">
      <alignment horizontal="left" vertical="center"/>
    </xf>
    <xf numFmtId="167" fontId="0" fillId="0" borderId="0" xfId="0" applyNumberFormat="1" applyBorder="1" applyAlignment="1" applyProtection="1">
      <alignment horizontal="right" indent="3"/>
      <protection hidden="1"/>
    </xf>
    <xf numFmtId="0" fontId="21" fillId="0" borderId="23" xfId="0" applyFont="1" applyBorder="1" applyAlignment="1" applyProtection="1">
      <alignment horizontal="right"/>
      <protection hidden="1"/>
    </xf>
    <xf numFmtId="0" fontId="21" fillId="0" borderId="5" xfId="0" applyFont="1" applyBorder="1" applyAlignment="1" applyProtection="1">
      <alignment horizontal="right"/>
      <protection hidden="1"/>
    </xf>
    <xf numFmtId="0" fontId="21" fillId="0" borderId="7" xfId="0" applyFont="1" applyBorder="1" applyAlignment="1" applyProtection="1">
      <alignment horizontal="left" vertical="center"/>
      <protection hidden="1"/>
    </xf>
    <xf numFmtId="0" fontId="21" fillId="0" borderId="5"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7" xfId="0" applyFont="1" applyBorder="1" applyAlignment="1" applyProtection="1">
      <alignment horizontal="left"/>
      <protection hidden="1"/>
    </xf>
    <xf numFmtId="0" fontId="21" fillId="0" borderId="5" xfId="0" applyFont="1" applyBorder="1" applyAlignment="1" applyProtection="1">
      <alignment horizontal="left"/>
      <protection hidden="1"/>
    </xf>
    <xf numFmtId="0" fontId="21" fillId="0" borderId="24" xfId="0" applyFont="1" applyBorder="1" applyAlignment="1" applyProtection="1">
      <alignment horizontal="left"/>
      <protection hidden="1"/>
    </xf>
    <xf numFmtId="0" fontId="21" fillId="0" borderId="9" xfId="0" applyFont="1" applyBorder="1" applyAlignment="1" applyProtection="1">
      <alignment horizontal="left"/>
      <protection hidden="1"/>
    </xf>
    <xf numFmtId="0" fontId="21" fillId="0" borderId="0" xfId="0" applyFont="1" applyBorder="1" applyAlignment="1" applyProtection="1">
      <alignment horizontal="left"/>
      <protection hidden="1"/>
    </xf>
    <xf numFmtId="0" fontId="21" fillId="0" borderId="26"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4" xfId="0" applyFont="1" applyBorder="1" applyAlignment="1" applyProtection="1">
      <alignment horizontal="left"/>
      <protection hidden="1"/>
    </xf>
    <xf numFmtId="164" fontId="21" fillId="0" borderId="25" xfId="0" applyNumberFormat="1" applyFont="1" applyBorder="1" applyAlignment="1" applyProtection="1">
      <alignment horizontal="left" vertical="center"/>
      <protection hidden="1"/>
    </xf>
    <xf numFmtId="0" fontId="23" fillId="0" borderId="10" xfId="0" applyFont="1" applyBorder="1" applyAlignment="1" applyProtection="1">
      <alignment horizontal="center" vertical="center"/>
      <protection hidden="1"/>
    </xf>
    <xf numFmtId="14" fontId="36" fillId="0" borderId="0" xfId="0" applyNumberFormat="1" applyFont="1" applyAlignment="1" applyProtection="1">
      <alignment horizontal="right"/>
      <protection hidden="1"/>
    </xf>
    <xf numFmtId="0" fontId="36" fillId="0" borderId="0" xfId="0" applyFont="1" applyAlignment="1" applyProtection="1">
      <alignment horizontal="right"/>
      <protection hidden="1"/>
    </xf>
    <xf numFmtId="0" fontId="1" fillId="0" borderId="9" xfId="0" applyFont="1" applyBorder="1" applyAlignment="1" applyProtection="1">
      <alignment horizontal="right"/>
      <protection hidden="1"/>
    </xf>
    <xf numFmtId="0" fontId="1" fillId="0" borderId="0" xfId="0" applyFont="1" applyBorder="1" applyAlignment="1" applyProtection="1">
      <alignment horizontal="right"/>
      <protection hidden="1"/>
    </xf>
    <xf numFmtId="0" fontId="19" fillId="0" borderId="25" xfId="0" applyFont="1" applyBorder="1" applyAlignment="1" applyProtection="1">
      <alignment horizontal="left"/>
      <protection hidden="1"/>
    </xf>
    <xf numFmtId="0" fontId="19" fillId="0" borderId="0" xfId="0" applyFont="1" applyBorder="1" applyAlignment="1" applyProtection="1">
      <alignment horizontal="left"/>
      <protection hidden="1"/>
    </xf>
    <xf numFmtId="0" fontId="19" fillId="0" borderId="9" xfId="0" applyFont="1" applyBorder="1" applyAlignment="1" applyProtection="1">
      <alignment horizontal="left"/>
      <protection hidden="1"/>
    </xf>
    <xf numFmtId="0" fontId="19" fillId="0" borderId="26" xfId="0" applyFont="1" applyBorder="1" applyAlignment="1" applyProtection="1">
      <alignment horizontal="left"/>
      <protection hidden="1"/>
    </xf>
    <xf numFmtId="0" fontId="37" fillId="0" borderId="0" xfId="0" applyFont="1" applyFill="1" applyAlignment="1" applyProtection="1">
      <alignment horizontal="left" vertical="center" wrapText="1"/>
      <protection hidden="1"/>
    </xf>
    <xf numFmtId="0" fontId="21" fillId="0" borderId="11" xfId="0" applyFont="1" applyBorder="1" applyAlignment="1" applyProtection="1">
      <alignment horizontal="left" indent="1"/>
      <protection hidden="1"/>
    </xf>
    <xf numFmtId="0" fontId="21" fillId="0" borderId="4" xfId="0" applyFont="1" applyBorder="1" applyAlignment="1" applyProtection="1">
      <alignment horizontal="left" indent="1"/>
      <protection hidden="1"/>
    </xf>
    <xf numFmtId="0" fontId="21" fillId="0" borderId="23" xfId="0" applyFont="1" applyBorder="1" applyAlignment="1" applyProtection="1">
      <alignment horizontal="left"/>
      <protection hidden="1"/>
    </xf>
    <xf numFmtId="0" fontId="21" fillId="0" borderId="25" xfId="0" applyFont="1" applyBorder="1" applyAlignment="1" applyProtection="1">
      <alignment horizontal="left"/>
      <protection hidden="1"/>
    </xf>
    <xf numFmtId="0" fontId="25" fillId="0" borderId="9" xfId="0" applyFont="1" applyBorder="1" applyAlignment="1" applyProtection="1">
      <alignment horizontal="right"/>
      <protection hidden="1"/>
    </xf>
    <xf numFmtId="0" fontId="25" fillId="0" borderId="0" xfId="0" applyFont="1" applyBorder="1" applyAlignment="1" applyProtection="1">
      <alignment horizontal="right"/>
      <protection hidden="1"/>
    </xf>
    <xf numFmtId="0" fontId="1" fillId="0" borderId="18" xfId="0" applyFont="1" applyBorder="1" applyAlignment="1" applyProtection="1">
      <alignment horizontal="right"/>
      <protection hidden="1"/>
    </xf>
    <xf numFmtId="0" fontId="21" fillId="0" borderId="31" xfId="0" applyFont="1" applyBorder="1" applyAlignment="1" applyProtection="1">
      <alignment horizontal="center" vertical="center"/>
      <protection hidden="1"/>
    </xf>
    <xf numFmtId="0" fontId="21" fillId="0" borderId="32" xfId="0" applyFont="1" applyBorder="1" applyAlignment="1" applyProtection="1">
      <alignment horizontal="center" vertical="center"/>
      <protection hidden="1"/>
    </xf>
    <xf numFmtId="0" fontId="21" fillId="0" borderId="33"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1" fillId="0" borderId="26" xfId="0" applyFont="1" applyBorder="1" applyAlignment="1" applyProtection="1">
      <alignment horizontal="center" vertical="center"/>
      <protection hidden="1"/>
    </xf>
    <xf numFmtId="167" fontId="19" fillId="0" borderId="18" xfId="0" applyNumberFormat="1" applyFont="1" applyBorder="1" applyAlignment="1" applyProtection="1">
      <alignment horizontal="right" indent="3"/>
      <protection hidden="1"/>
    </xf>
    <xf numFmtId="0" fontId="19" fillId="0" borderId="29" xfId="0" applyFont="1" applyBorder="1" applyAlignment="1" applyProtection="1">
      <alignment horizontal="right"/>
      <protection hidden="1"/>
    </xf>
    <xf numFmtId="0" fontId="19" fillId="0" borderId="18" xfId="0" applyFont="1" applyBorder="1" applyAlignment="1" applyProtection="1">
      <alignment horizontal="right"/>
      <protection hidden="1"/>
    </xf>
    <xf numFmtId="0" fontId="0" fillId="0" borderId="5" xfId="0" applyBorder="1" applyAlignment="1" applyProtection="1">
      <alignment horizontal="center"/>
      <protection hidden="1"/>
    </xf>
    <xf numFmtId="0" fontId="0" fillId="0" borderId="24" xfId="0" applyBorder="1" applyAlignment="1" applyProtection="1">
      <alignment horizontal="center"/>
      <protection hidden="1"/>
    </xf>
    <xf numFmtId="0" fontId="54" fillId="0" borderId="25" xfId="0" quotePrefix="1" applyFont="1" applyBorder="1" applyAlignment="1" applyProtection="1">
      <alignment horizontal="right"/>
      <protection hidden="1"/>
    </xf>
    <xf numFmtId="0" fontId="54" fillId="0" borderId="0" xfId="0" quotePrefix="1" applyFont="1" applyBorder="1" applyAlignment="1" applyProtection="1">
      <alignment horizontal="right"/>
      <protection hidden="1"/>
    </xf>
    <xf numFmtId="0" fontId="5" fillId="0" borderId="25" xfId="0" applyFont="1" applyBorder="1" applyAlignment="1" applyProtection="1">
      <alignment horizontal="right"/>
      <protection hidden="1"/>
    </xf>
    <xf numFmtId="0" fontId="5" fillId="0" borderId="0" xfId="0" applyFont="1" applyBorder="1" applyAlignment="1" applyProtection="1">
      <alignment horizontal="right"/>
      <protection hidden="1"/>
    </xf>
    <xf numFmtId="167" fontId="27" fillId="0" borderId="0" xfId="0" applyNumberFormat="1" applyFont="1" applyBorder="1" applyAlignment="1" applyProtection="1">
      <alignment horizontal="right" indent="3"/>
      <protection hidden="1"/>
    </xf>
    <xf numFmtId="0" fontId="19" fillId="0" borderId="25" xfId="0" applyFont="1" applyBorder="1" applyAlignment="1" applyProtection="1">
      <alignment horizontal="right" vertical="center"/>
      <protection hidden="1"/>
    </xf>
    <xf numFmtId="0" fontId="19" fillId="0" borderId="0" xfId="0" applyFont="1" applyBorder="1" applyAlignment="1" applyProtection="1">
      <alignment horizontal="right" vertical="center"/>
      <protection hidden="1"/>
    </xf>
    <xf numFmtId="0" fontId="19" fillId="0" borderId="29" xfId="0" applyFont="1" applyBorder="1" applyAlignment="1" applyProtection="1">
      <alignment horizontal="right" vertical="center"/>
      <protection hidden="1"/>
    </xf>
    <xf numFmtId="0" fontId="19" fillId="0" borderId="18" xfId="0" applyFont="1" applyBorder="1" applyAlignment="1" applyProtection="1">
      <alignment horizontal="right" vertical="center"/>
      <protection hidden="1"/>
    </xf>
    <xf numFmtId="168" fontId="19" fillId="0" borderId="0" xfId="2" applyNumberFormat="1" applyFont="1" applyBorder="1" applyAlignment="1" applyProtection="1">
      <alignment horizontal="left" vertical="center"/>
      <protection hidden="1"/>
    </xf>
    <xf numFmtId="168" fontId="19" fillId="0" borderId="18" xfId="2" applyNumberFormat="1" applyFont="1" applyBorder="1" applyAlignment="1" applyProtection="1">
      <alignment horizontal="left" vertical="center"/>
      <protection hidden="1"/>
    </xf>
    <xf numFmtId="0" fontId="16" fillId="0" borderId="9" xfId="0" applyNumberFormat="1" applyFont="1" applyFill="1" applyBorder="1" applyAlignment="1" applyProtection="1">
      <alignment horizontal="right"/>
      <protection hidden="1"/>
    </xf>
    <xf numFmtId="0" fontId="16" fillId="0" borderId="0" xfId="0" applyNumberFormat="1" applyFont="1" applyFill="1" applyBorder="1" applyAlignment="1" applyProtection="1">
      <alignment horizontal="right"/>
      <protection hidden="1"/>
    </xf>
    <xf numFmtId="0" fontId="5" fillId="0" borderId="9" xfId="0" applyFont="1" applyBorder="1" applyAlignment="1" applyProtection="1">
      <alignment horizontal="right"/>
      <protection hidden="1"/>
    </xf>
    <xf numFmtId="0" fontId="21" fillId="0" borderId="11" xfId="0" applyFont="1" applyBorder="1" applyAlignment="1" applyProtection="1">
      <alignment horizontal="center"/>
      <protection hidden="1"/>
    </xf>
    <xf numFmtId="0" fontId="21" fillId="0" borderId="4" xfId="0" applyFont="1" applyBorder="1" applyAlignment="1" applyProtection="1">
      <alignment horizontal="center"/>
      <protection hidden="1"/>
    </xf>
    <xf numFmtId="0" fontId="0" fillId="0" borderId="0" xfId="0" applyBorder="1" applyAlignment="1" applyProtection="1">
      <alignment horizontal="right"/>
      <protection hidden="1"/>
    </xf>
    <xf numFmtId="0" fontId="22" fillId="0" borderId="9" xfId="0" applyNumberFormat="1" applyFont="1" applyFill="1" applyBorder="1" applyAlignment="1" applyProtection="1">
      <alignment horizontal="right"/>
      <protection hidden="1"/>
    </xf>
    <xf numFmtId="0" fontId="22" fillId="0" borderId="0" xfId="0" applyNumberFormat="1" applyFont="1" applyFill="1" applyBorder="1" applyAlignment="1" applyProtection="1">
      <alignment horizontal="right"/>
      <protection hidden="1"/>
    </xf>
    <xf numFmtId="0" fontId="5" fillId="0" borderId="0" xfId="0" applyFont="1" applyBorder="1" applyAlignment="1" applyProtection="1">
      <alignment horizontal="left" indent="3"/>
      <protection hidden="1"/>
    </xf>
    <xf numFmtId="14" fontId="37" fillId="0" borderId="18" xfId="0" applyNumberFormat="1" applyFont="1" applyBorder="1" applyAlignment="1" applyProtection="1">
      <alignment horizontal="right"/>
      <protection hidden="1"/>
    </xf>
    <xf numFmtId="165" fontId="37" fillId="0" borderId="18" xfId="0" applyNumberFormat="1" applyFont="1" applyBorder="1" applyAlignment="1" applyProtection="1">
      <alignment horizontal="right"/>
      <protection hidden="1"/>
    </xf>
    <xf numFmtId="0" fontId="19" fillId="0" borderId="0" xfId="0" applyFont="1" applyAlignment="1" applyProtection="1">
      <alignment horizontal="center" vertical="center"/>
      <protection hidden="1"/>
    </xf>
    <xf numFmtId="0" fontId="27" fillId="0" borderId="0" xfId="0" applyFont="1" applyBorder="1" applyAlignment="1" applyProtection="1">
      <alignment horizontal="right"/>
      <protection hidden="1"/>
    </xf>
    <xf numFmtId="0" fontId="19" fillId="0" borderId="20" xfId="0" applyFont="1" applyBorder="1" applyAlignment="1" applyProtection="1">
      <alignment horizontal="center"/>
      <protection hidden="1"/>
    </xf>
    <xf numFmtId="0" fontId="19" fillId="0" borderId="21" xfId="0" applyFont="1" applyBorder="1" applyAlignment="1" applyProtection="1">
      <alignment horizontal="center"/>
      <protection hidden="1"/>
    </xf>
    <xf numFmtId="0" fontId="19" fillId="0" borderId="22" xfId="0" applyFont="1" applyBorder="1" applyAlignment="1" applyProtection="1">
      <alignment horizontal="center"/>
      <protection hidden="1"/>
    </xf>
    <xf numFmtId="0" fontId="21" fillId="0" borderId="23" xfId="0" applyFont="1" applyBorder="1" applyAlignment="1" applyProtection="1">
      <alignment horizontal="left" vertical="center"/>
      <protection hidden="1"/>
    </xf>
    <xf numFmtId="0" fontId="21" fillId="0" borderId="25" xfId="0" applyFont="1" applyBorder="1" applyAlignment="1" applyProtection="1">
      <alignment horizontal="left" vertical="center"/>
      <protection hidden="1"/>
    </xf>
    <xf numFmtId="0" fontId="23" fillId="0" borderId="8" xfId="0" applyFont="1" applyBorder="1" applyAlignment="1" applyProtection="1">
      <alignment horizontal="center" vertical="center"/>
      <protection hidden="1"/>
    </xf>
    <xf numFmtId="0" fontId="23" fillId="0" borderId="26" xfId="0" applyFont="1" applyBorder="1" applyAlignment="1" applyProtection="1">
      <alignment horizontal="center" vertical="center"/>
      <protection hidden="1"/>
    </xf>
    <xf numFmtId="0" fontId="23" fillId="0" borderId="24" xfId="0" applyFont="1" applyBorder="1" applyAlignment="1" applyProtection="1">
      <alignment horizontal="center" vertical="center"/>
      <protection hidden="1"/>
    </xf>
    <xf numFmtId="0" fontId="6"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3" fillId="0" borderId="18" xfId="0" applyNumberFormat="1" applyFont="1" applyFill="1" applyBorder="1" applyAlignment="1" applyProtection="1">
      <alignment horizontal="left" vertical="top" indent="3"/>
    </xf>
    <xf numFmtId="0" fontId="37" fillId="0" borderId="71" xfId="0" applyNumberFormat="1" applyFont="1" applyFill="1" applyBorder="1" applyAlignment="1" applyProtection="1">
      <alignment horizontal="left"/>
    </xf>
    <xf numFmtId="0" fontId="37" fillId="0" borderId="72" xfId="0" applyNumberFormat="1" applyFont="1" applyFill="1" applyBorder="1" applyAlignment="1" applyProtection="1">
      <alignment horizontal="left"/>
    </xf>
    <xf numFmtId="0" fontId="37" fillId="0" borderId="58" xfId="0" applyNumberFormat="1" applyFont="1" applyFill="1" applyBorder="1" applyAlignment="1" applyProtection="1">
      <alignment horizontal="left"/>
    </xf>
    <xf numFmtId="0" fontId="37" fillId="0" borderId="74" xfId="0" applyNumberFormat="1" applyFont="1" applyFill="1" applyBorder="1" applyAlignment="1" applyProtection="1">
      <alignment horizontal="left"/>
    </xf>
    <xf numFmtId="0" fontId="4" fillId="0" borderId="47" xfId="0" applyNumberFormat="1" applyFont="1" applyFill="1" applyBorder="1" applyAlignment="1" applyProtection="1">
      <alignment horizontal="left"/>
    </xf>
    <xf numFmtId="0" fontId="4" fillId="0" borderId="65" xfId="0" applyNumberFormat="1" applyFont="1" applyFill="1" applyBorder="1" applyAlignment="1" applyProtection="1">
      <alignment horizontal="left"/>
    </xf>
    <xf numFmtId="164" fontId="1" fillId="0" borderId="47" xfId="0" applyNumberFormat="1" applyFont="1" applyBorder="1" applyAlignment="1">
      <alignment horizontal="right"/>
    </xf>
    <xf numFmtId="164" fontId="1" fillId="0" borderId="65" xfId="0" applyNumberFormat="1" applyFont="1" applyBorder="1" applyAlignment="1">
      <alignment horizontal="right"/>
    </xf>
    <xf numFmtId="0" fontId="1" fillId="0" borderId="47" xfId="0" applyNumberFormat="1" applyFont="1" applyFill="1" applyBorder="1" applyAlignment="1" applyProtection="1">
      <alignment horizontal="right"/>
    </xf>
    <xf numFmtId="0" fontId="1" fillId="0" borderId="65" xfId="0" applyNumberFormat="1" applyFont="1" applyFill="1" applyBorder="1" applyAlignment="1" applyProtection="1">
      <alignment horizontal="right"/>
    </xf>
    <xf numFmtId="164" fontId="1" fillId="0" borderId="38" xfId="0" applyNumberFormat="1" applyFont="1" applyBorder="1" applyAlignment="1">
      <alignment horizontal="right"/>
    </xf>
    <xf numFmtId="164" fontId="1" fillId="0" borderId="2" xfId="0" applyNumberFormat="1" applyFont="1" applyBorder="1" applyAlignment="1">
      <alignment horizontal="right"/>
    </xf>
    <xf numFmtId="164" fontId="1" fillId="0" borderId="39" xfId="0" applyNumberFormat="1" applyFont="1" applyBorder="1" applyAlignment="1">
      <alignment horizontal="right"/>
    </xf>
    <xf numFmtId="0" fontId="1" fillId="0" borderId="0" xfId="0" applyFont="1" applyAlignment="1">
      <alignment horizontal="right" vertical="center" indent="3"/>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164" fontId="7" fillId="0" borderId="56" xfId="0" applyNumberFormat="1" applyFont="1" applyBorder="1" applyAlignment="1">
      <alignment horizontal="left"/>
    </xf>
    <xf numFmtId="164" fontId="7" fillId="0" borderId="54" xfId="0" applyNumberFormat="1" applyFont="1" applyBorder="1" applyAlignment="1">
      <alignment horizontal="left"/>
    </xf>
    <xf numFmtId="164" fontId="7" fillId="0" borderId="59" xfId="0" applyNumberFormat="1" applyFont="1" applyBorder="1" applyAlignment="1">
      <alignment horizontal="left"/>
    </xf>
    <xf numFmtId="164" fontId="7" fillId="0" borderId="20" xfId="0" applyNumberFormat="1" applyFont="1" applyBorder="1" applyAlignment="1">
      <alignment horizontal="left"/>
    </xf>
    <xf numFmtId="164" fontId="7" fillId="0" borderId="21" xfId="0" applyNumberFormat="1" applyFont="1" applyBorder="1" applyAlignment="1">
      <alignment horizontal="left"/>
    </xf>
    <xf numFmtId="164" fontId="7" fillId="0" borderId="22" xfId="0" applyNumberFormat="1" applyFont="1" applyBorder="1" applyAlignment="1">
      <alignment horizontal="left"/>
    </xf>
    <xf numFmtId="0" fontId="4" fillId="0" borderId="47" xfId="0" applyNumberFormat="1" applyFont="1" applyFill="1" applyBorder="1" applyAlignment="1" applyProtection="1">
      <alignment horizontal="center"/>
    </xf>
    <xf numFmtId="0" fontId="4" fillId="0" borderId="65" xfId="0" applyNumberFormat="1" applyFont="1" applyFill="1" applyBorder="1" applyAlignment="1" applyProtection="1">
      <alignment horizontal="center"/>
    </xf>
    <xf numFmtId="0" fontId="1" fillId="0" borderId="38" xfId="0" applyNumberFormat="1" applyFont="1" applyFill="1" applyBorder="1" applyAlignment="1" applyProtection="1">
      <alignment horizontal="right"/>
      <protection hidden="1"/>
    </xf>
    <xf numFmtId="0" fontId="1" fillId="0" borderId="2" xfId="0" applyNumberFormat="1" applyFont="1" applyFill="1" applyBorder="1" applyAlignment="1" applyProtection="1">
      <alignment horizontal="right"/>
      <protection hidden="1"/>
    </xf>
    <xf numFmtId="0" fontId="1" fillId="0" borderId="39" xfId="0" applyNumberFormat="1" applyFont="1" applyFill="1" applyBorder="1" applyAlignment="1" applyProtection="1">
      <alignment horizontal="right"/>
      <protection hidden="1"/>
    </xf>
    <xf numFmtId="0" fontId="17" fillId="0" borderId="0" xfId="0" applyFont="1" applyBorder="1" applyAlignment="1" applyProtection="1">
      <alignment horizontal="center" vertical="center" wrapText="1"/>
    </xf>
    <xf numFmtId="166" fontId="19" fillId="0" borderId="0" xfId="0" applyNumberFormat="1" applyFont="1" applyFill="1" applyBorder="1" applyAlignment="1" applyProtection="1">
      <alignment horizontal="center"/>
      <protection hidden="1"/>
    </xf>
    <xf numFmtId="166" fontId="19" fillId="0" borderId="34" xfId="0" applyNumberFormat="1" applyFont="1" applyFill="1" applyBorder="1" applyAlignment="1" applyProtection="1">
      <alignment horizontal="center"/>
      <protection hidden="1"/>
    </xf>
    <xf numFmtId="164" fontId="17" fillId="0" borderId="0" xfId="0" applyNumberFormat="1" applyFont="1" applyFill="1" applyBorder="1" applyAlignment="1" applyProtection="1">
      <alignment horizontal="center"/>
      <protection hidden="1"/>
    </xf>
    <xf numFmtId="0" fontId="17" fillId="0" borderId="0" xfId="0" applyNumberFormat="1" applyFont="1" applyFill="1" applyBorder="1" applyAlignment="1" applyProtection="1">
      <alignment horizontal="center"/>
      <protection hidden="1"/>
    </xf>
    <xf numFmtId="0" fontId="17" fillId="0" borderId="34" xfId="0" applyNumberFormat="1" applyFont="1" applyFill="1" applyBorder="1" applyAlignment="1" applyProtection="1">
      <alignment horizontal="center"/>
      <protection hidden="1"/>
    </xf>
    <xf numFmtId="0" fontId="6" fillId="0" borderId="7"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left"/>
    </xf>
    <xf numFmtId="0" fontId="17" fillId="0" borderId="5" xfId="0" applyNumberFormat="1" applyFont="1" applyFill="1" applyBorder="1" applyAlignment="1" applyProtection="1">
      <alignment horizontal="left"/>
    </xf>
    <xf numFmtId="0" fontId="17" fillId="0" borderId="8" xfId="0" applyNumberFormat="1" applyFont="1" applyFill="1" applyBorder="1" applyAlignment="1" applyProtection="1">
      <alignment horizontal="left"/>
    </xf>
    <xf numFmtId="0" fontId="6" fillId="0" borderId="7" xfId="0" applyNumberFormat="1" applyFont="1" applyFill="1" applyBorder="1" applyAlignment="1" applyProtection="1">
      <alignment horizontal="center" vertical="center"/>
      <protection hidden="1"/>
    </xf>
    <xf numFmtId="0" fontId="6" fillId="0" borderId="5" xfId="0" applyNumberFormat="1" applyFont="1" applyFill="1" applyBorder="1" applyAlignment="1" applyProtection="1">
      <alignment horizontal="center" vertical="center"/>
      <protection hidden="1"/>
    </xf>
    <xf numFmtId="0" fontId="6" fillId="0" borderId="8" xfId="0" applyNumberFormat="1" applyFont="1" applyFill="1" applyBorder="1" applyAlignment="1" applyProtection="1">
      <alignment horizontal="center" vertical="center"/>
      <protection hidden="1"/>
    </xf>
    <xf numFmtId="0" fontId="6" fillId="0" borderId="9" xfId="0" applyNumberFormat="1" applyFont="1" applyFill="1" applyBorder="1" applyAlignment="1" applyProtection="1">
      <alignment horizontal="center" vertical="center"/>
      <protection hidden="1"/>
    </xf>
    <xf numFmtId="0" fontId="6" fillId="0" borderId="0" xfId="0" applyNumberFormat="1" applyFont="1" applyFill="1" applyBorder="1" applyAlignment="1" applyProtection="1">
      <alignment horizontal="center" vertical="center"/>
      <protection hidden="1"/>
    </xf>
    <xf numFmtId="0" fontId="6" fillId="0" borderId="10" xfId="0" applyNumberFormat="1" applyFont="1" applyFill="1" applyBorder="1" applyAlignment="1" applyProtection="1">
      <alignment horizontal="center" vertical="center"/>
      <protection hidden="1"/>
    </xf>
    <xf numFmtId="164" fontId="36" fillId="0" borderId="11" xfId="0" applyNumberFormat="1" applyFont="1" applyBorder="1" applyAlignment="1">
      <alignment horizontal="right"/>
    </xf>
    <xf numFmtId="164" fontId="36" fillId="0" borderId="4" xfId="0" applyNumberFormat="1" applyFont="1" applyBorder="1" applyAlignment="1">
      <alignment horizontal="right"/>
    </xf>
    <xf numFmtId="164" fontId="36" fillId="0" borderId="14" xfId="0" applyNumberFormat="1" applyFont="1" applyBorder="1" applyAlignment="1">
      <alignment horizontal="right"/>
    </xf>
    <xf numFmtId="164" fontId="36" fillId="0" borderId="9" xfId="0" applyNumberFormat="1" applyFont="1" applyBorder="1" applyAlignment="1" applyProtection="1">
      <alignment horizontal="right"/>
      <protection hidden="1"/>
    </xf>
    <xf numFmtId="164" fontId="36" fillId="0" borderId="0" xfId="0" applyNumberFormat="1" applyFont="1" applyBorder="1" applyAlignment="1" applyProtection="1">
      <alignment horizontal="right"/>
      <protection hidden="1"/>
    </xf>
    <xf numFmtId="164" fontId="36" fillId="0" borderId="10" xfId="0" applyNumberFormat="1" applyFont="1" applyBorder="1" applyAlignment="1" applyProtection="1">
      <alignment horizontal="right"/>
      <protection hidden="1"/>
    </xf>
    <xf numFmtId="0" fontId="36" fillId="0" borderId="9" xfId="0" applyNumberFormat="1" applyFont="1" applyFill="1" applyBorder="1" applyAlignment="1" applyProtection="1">
      <alignment horizontal="center"/>
    </xf>
    <xf numFmtId="0" fontId="36" fillId="0" borderId="0" xfId="0" applyNumberFormat="1" applyFont="1" applyFill="1" applyBorder="1" applyAlignment="1" applyProtection="1">
      <alignment horizontal="center"/>
    </xf>
    <xf numFmtId="0" fontId="36" fillId="0" borderId="10" xfId="0" applyNumberFormat="1" applyFont="1" applyFill="1" applyBorder="1" applyAlignment="1" applyProtection="1">
      <alignment horizontal="center"/>
    </xf>
    <xf numFmtId="0" fontId="5" fillId="0" borderId="7" xfId="0" applyNumberFormat="1" applyFont="1" applyFill="1" applyBorder="1" applyAlignment="1" applyProtection="1">
      <alignment horizontal="center"/>
    </xf>
    <xf numFmtId="0" fontId="5" fillId="0" borderId="5" xfId="0" applyNumberFormat="1" applyFont="1" applyFill="1" applyBorder="1" applyAlignment="1" applyProtection="1">
      <alignment horizontal="center"/>
    </xf>
    <xf numFmtId="0" fontId="5" fillId="0" borderId="8" xfId="0" applyNumberFormat="1" applyFont="1" applyFill="1" applyBorder="1" applyAlignment="1" applyProtection="1">
      <alignment horizontal="center"/>
    </xf>
    <xf numFmtId="0" fontId="17" fillId="0" borderId="0" xfId="0" applyNumberFormat="1" applyFont="1" applyFill="1" applyBorder="1" applyAlignment="1" applyProtection="1">
      <alignment horizontal="center"/>
    </xf>
    <xf numFmtId="0" fontId="17" fillId="0" borderId="10" xfId="0" applyNumberFormat="1" applyFont="1" applyFill="1" applyBorder="1" applyAlignment="1" applyProtection="1">
      <alignment horizontal="center"/>
    </xf>
    <xf numFmtId="0" fontId="0" fillId="0" borderId="0" xfId="0" applyBorder="1" applyAlignment="1">
      <alignment horizontal="center" wrapText="1"/>
    </xf>
    <xf numFmtId="0" fontId="0" fillId="0" borderId="4" xfId="0" applyBorder="1" applyAlignment="1">
      <alignment horizontal="center" wrapText="1"/>
    </xf>
    <xf numFmtId="0" fontId="53" fillId="0" borderId="0" xfId="0" applyFont="1" applyAlignment="1">
      <alignment horizontal="center"/>
    </xf>
    <xf numFmtId="0" fontId="2" fillId="0" borderId="0" xfId="3" applyAlignment="1" applyProtection="1">
      <alignment horizontal="center"/>
    </xf>
    <xf numFmtId="0" fontId="0" fillId="0" borderId="0" xfId="0" applyBorder="1" applyAlignment="1">
      <alignment horizontal="center"/>
    </xf>
    <xf numFmtId="0" fontId="0" fillId="0" borderId="4" xfId="0" applyBorder="1" applyAlignment="1">
      <alignment horizontal="center"/>
    </xf>
  </cellXfs>
  <cellStyles count="10">
    <cellStyle name="20% - Accent3 2" xfId="7"/>
    <cellStyle name="Calculation 2" xfId="9"/>
    <cellStyle name="Comma" xfId="1" builtinId="3"/>
    <cellStyle name="Currency" xfId="2" builtinId="4"/>
    <cellStyle name="Currency 2" xfId="6"/>
    <cellStyle name="Hyperlink" xfId="3" builtinId="8"/>
    <cellStyle name="Input 2" xfId="8"/>
    <cellStyle name="Normal" xfId="0" builtinId="0"/>
    <cellStyle name="Normal 2" xfId="5"/>
    <cellStyle name="Percent" xfId="4" builtinId="5"/>
  </cellStyles>
  <dxfs count="68">
    <dxf>
      <font>
        <b/>
        <i val="0"/>
      </font>
      <fill>
        <patternFill>
          <bgColor theme="9" tint="0.39994506668294322"/>
        </patternFill>
      </fill>
    </dxf>
    <dxf>
      <font>
        <b/>
        <i val="0"/>
      </font>
      <fill>
        <patternFill>
          <bgColor theme="9" tint="0.39994506668294322"/>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14996795556505021"/>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patternType="solid">
          <fgColor theme="4" tint="0.59999389629810485"/>
          <bgColor theme="4" tint="0.59999389629810485"/>
        </patternFill>
      </fill>
    </dxf>
    <dxf>
      <fill>
        <patternFill>
          <bgColor rgb="FFF0EFED"/>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F0EFED"/>
        </patternFill>
      </fill>
    </dxf>
    <dxf>
      <font>
        <b/>
        <color theme="0"/>
      </font>
      <fill>
        <patternFill patternType="solid">
          <fgColor theme="4"/>
          <bgColor rgb="FFF37321"/>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96DAE2"/>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F37321"/>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96DAE2"/>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5ADABD"/>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patternType="solid">
          <fgColor theme="4" tint="0.59999389629810485"/>
          <bgColor rgb="FFF0EFED"/>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rgb="FF5ADAE2"/>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5" defaultTableStyle="TableStyleMedium9" defaultPivotStyle="PivotStyleMedium4">
    <tableStyle name="FishBizTableStyleMedium9 2" pivot="0" count="7">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 name="TableStyleMedium9 2" pivot="0" count="8">
      <tableStyleElement type="wholeTable" dxfId="60"/>
      <tableStyleElement type="headerRow" dxfId="59"/>
      <tableStyleElement type="totalRow" dxfId="58"/>
      <tableStyleElement type="firstColumn" dxfId="57"/>
      <tableStyleElement type="lastColumn" dxfId="56"/>
      <tableStyleElement type="firstRowStripe" dxfId="55"/>
      <tableStyleElement type="secondRowStripe" dxfId="54"/>
      <tableStyleElement type="firstColumnStripe" dxfId="53"/>
    </tableStyle>
    <tableStyle name="TableStyleMedium9 2 2" pivot="0" count="8">
      <tableStyleElement type="wholeTable" dxfId="52"/>
      <tableStyleElement type="headerRow" dxfId="51"/>
      <tableStyleElement type="totalRow" dxfId="50"/>
      <tableStyleElement type="firstColumn" dxfId="49"/>
      <tableStyleElement type="lastColumn" dxfId="48"/>
      <tableStyleElement type="firstRowStripe" dxfId="47"/>
      <tableStyleElement type="secondRowStripe" dxfId="46"/>
      <tableStyleElement type="firstColumnStripe" dxfId="45"/>
    </tableStyle>
    <tableStyle name="TableStyleMedium9 2 2 2" pivot="0" count="8">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
    <tableStyle name="TableStyleMedium9 2 2 3" pivot="0" count="8">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64A2"/>
      <color rgb="FF8CC052"/>
      <color rgb="FF157C29"/>
      <color rgb="FF4A89DC"/>
      <color rgb="FF00C400"/>
      <color rgb="FF434953"/>
      <color rgb="FFF37321"/>
      <color rgb="FFE1DFDB"/>
      <color rgb="FFF0EFED"/>
      <color rgb="FFE7F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Inputs!$M$60</c:f>
          <c:strCache>
            <c:ptCount val="1"/>
            <c:pt idx="0">
              <c:v>2016 - Current Ratio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FF0000"/>
              </a:solidFill>
              <a:ln w="19050">
                <a:noFill/>
              </a:ln>
              <a:effectLst/>
            </c:spPr>
            <c:extLst>
              <c:ext xmlns:c16="http://schemas.microsoft.com/office/drawing/2014/chart" uri="{C3380CC4-5D6E-409C-BE32-E72D297353CC}">
                <c16:uniqueId val="{00000001-3637-4836-ACAD-E25CAFC6C9C3}"/>
              </c:ext>
            </c:extLst>
          </c:dPt>
          <c:dPt>
            <c:idx val="1"/>
            <c:bubble3D val="0"/>
            <c:spPr>
              <a:solidFill>
                <a:srgbClr val="FFFF00"/>
              </a:solidFill>
              <a:ln w="19050">
                <a:noFill/>
              </a:ln>
              <a:effectLst/>
            </c:spPr>
            <c:extLst>
              <c:ext xmlns:c16="http://schemas.microsoft.com/office/drawing/2014/chart" uri="{C3380CC4-5D6E-409C-BE32-E72D297353CC}">
                <c16:uniqueId val="{00000002-3637-4836-ACAD-E25CAFC6C9C3}"/>
              </c:ext>
            </c:extLst>
          </c:dPt>
          <c:dPt>
            <c:idx val="2"/>
            <c:bubble3D val="0"/>
            <c:spPr>
              <a:solidFill>
                <a:srgbClr val="00B050"/>
              </a:solidFill>
              <a:ln w="19050">
                <a:noFill/>
              </a:ln>
              <a:effectLst/>
            </c:spPr>
            <c:extLst>
              <c:ext xmlns:c16="http://schemas.microsoft.com/office/drawing/2014/chart" uri="{C3380CC4-5D6E-409C-BE32-E72D297353CC}">
                <c16:uniqueId val="{00000003-3637-4836-ACAD-E25CAFC6C9C3}"/>
              </c:ext>
            </c:extLst>
          </c:dPt>
          <c:dPt>
            <c:idx val="3"/>
            <c:bubble3D val="0"/>
            <c:spPr>
              <a:noFill/>
              <a:ln w="19050">
                <a:noFill/>
              </a:ln>
              <a:effectLst/>
            </c:spPr>
            <c:extLst>
              <c:ext xmlns:c16="http://schemas.microsoft.com/office/drawing/2014/chart" uri="{C3380CC4-5D6E-409C-BE32-E72D297353CC}">
                <c16:uniqueId val="{00000004-3637-4836-ACAD-E25CAFC6C9C3}"/>
              </c:ext>
            </c:extLst>
          </c:dPt>
          <c:val>
            <c:numRef>
              <c:f>Inputs!$Q$60:$T$60</c:f>
              <c:numCache>
                <c:formatCode>General</c:formatCode>
                <c:ptCount val="4"/>
                <c:pt idx="0">
                  <c:v>0.45</c:v>
                </c:pt>
                <c:pt idx="1">
                  <c:v>0.45</c:v>
                </c:pt>
                <c:pt idx="2">
                  <c:v>0.45</c:v>
                </c:pt>
                <c:pt idx="3">
                  <c:v>1.35</c:v>
                </c:pt>
              </c:numCache>
            </c:numRef>
          </c:val>
          <c:extLst>
            <c:ext xmlns:c16="http://schemas.microsoft.com/office/drawing/2014/chart" uri="{C3380CC4-5D6E-409C-BE32-E72D297353CC}">
              <c16:uniqueId val="{00000000-3637-4836-ACAD-E25CAFC6C9C3}"/>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Inputs!$L$64</c:f>
              <c:strCache>
                <c:ptCount val="1"/>
              </c:strCache>
            </c:strRef>
          </c:tx>
          <c:spPr>
            <a:solidFill>
              <a:schemeClr val="tx1"/>
            </a:solidFill>
            <a:ln>
              <a:noFill/>
            </a:ln>
          </c:spPr>
          <c:dPt>
            <c:idx val="0"/>
            <c:bubble3D val="0"/>
            <c:spPr>
              <a:noFill/>
              <a:ln w="19050">
                <a:noFill/>
              </a:ln>
              <a:effectLst/>
            </c:spPr>
            <c:extLst>
              <c:ext xmlns:c16="http://schemas.microsoft.com/office/drawing/2014/chart" uri="{C3380CC4-5D6E-409C-BE32-E72D297353CC}">
                <c16:uniqueId val="{00000008-3637-4836-ACAD-E25CAFC6C9C3}"/>
              </c:ext>
            </c:extLst>
          </c:dPt>
          <c:dPt>
            <c:idx val="1"/>
            <c:bubble3D val="0"/>
            <c:spPr>
              <a:solidFill>
                <a:schemeClr val="tx1"/>
              </a:solidFill>
              <a:ln w="19050">
                <a:noFill/>
              </a:ln>
              <a:effectLst/>
            </c:spPr>
            <c:extLst>
              <c:ext xmlns:c16="http://schemas.microsoft.com/office/drawing/2014/chart" uri="{C3380CC4-5D6E-409C-BE32-E72D297353CC}">
                <c16:uniqueId val="{00000006-3637-4836-ACAD-E25CAFC6C9C3}"/>
              </c:ext>
            </c:extLst>
          </c:dPt>
          <c:dPt>
            <c:idx val="2"/>
            <c:bubble3D val="0"/>
            <c:spPr>
              <a:noFill/>
              <a:ln w="19050">
                <a:noFill/>
              </a:ln>
              <a:effectLst/>
            </c:spPr>
            <c:extLst>
              <c:ext xmlns:c16="http://schemas.microsoft.com/office/drawing/2014/chart" uri="{C3380CC4-5D6E-409C-BE32-E72D297353CC}">
                <c16:uniqueId val="{00000007-3637-4836-ACAD-E25CAFC6C9C3}"/>
              </c:ext>
            </c:extLst>
          </c:dPt>
          <c:dPt>
            <c:idx val="3"/>
            <c:bubble3D val="0"/>
            <c:spPr>
              <a:noFill/>
              <a:ln w="19050">
                <a:noFill/>
              </a:ln>
              <a:effectLst/>
            </c:spPr>
            <c:extLst>
              <c:ext xmlns:c16="http://schemas.microsoft.com/office/drawing/2014/chart" uri="{C3380CC4-5D6E-409C-BE32-E72D297353CC}">
                <c16:uniqueId val="{0000000E-4D4A-42FF-8749-413F4554B02E}"/>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(Inputs!$K$59,Inputs!$U$59:$V$59,Inputs!$X$59)</c:f>
              <c:strCache>
                <c:ptCount val="4"/>
                <c:pt idx="0">
                  <c:v>Graph</c:v>
                </c:pt>
                <c:pt idx="1">
                  <c:v>pointer</c:v>
                </c:pt>
                <c:pt idx="2">
                  <c:v>end</c:v>
                </c:pt>
                <c:pt idx="3">
                  <c:v>holder</c:v>
                </c:pt>
              </c:strCache>
            </c:strRef>
          </c:cat>
          <c:val>
            <c:numRef>
              <c:f>(Inputs!$K$60,Inputs!$U$60:$V$60,Inputs!$X$60)</c:f>
              <c:numCache>
                <c:formatCode>General</c:formatCode>
                <c:ptCount val="4"/>
                <c:pt idx="0" formatCode="_(* #,##0.000_);_(* \(#,##0.000\);_(* &quot;-&quot;??_);_(@_)">
                  <c:v>0</c:v>
                </c:pt>
                <c:pt idx="1">
                  <c:v>0</c:v>
                </c:pt>
                <c:pt idx="2" formatCode="_(* #,##0.00_);_(* \(#,##0.00\);_(* &quot;-&quot;??_);_(@_)">
                  <c:v>2.7</c:v>
                </c:pt>
                <c:pt idx="3">
                  <c:v>2.7</c:v>
                </c:pt>
              </c:numCache>
            </c:numRef>
          </c:val>
          <c:extLst>
            <c:ext xmlns:c16="http://schemas.microsoft.com/office/drawing/2014/chart" uri="{C3380CC4-5D6E-409C-BE32-E72D297353CC}">
              <c16:uniqueId val="{00000005-3637-4836-ACAD-E25CAFC6C9C3}"/>
            </c:ext>
          </c:extLst>
        </c:ser>
        <c:dLbls>
          <c:showLegendKey val="0"/>
          <c:showVal val="0"/>
          <c:showCatName val="0"/>
          <c:showSerName val="0"/>
          <c:showPercent val="0"/>
          <c:showBubbleSize val="0"/>
          <c:showLeaderLines val="0"/>
        </c:dLbls>
        <c:firstSliceAng val="27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33000">
                  <a:srgbClr val="00B050"/>
                </a:gs>
                <a:gs pos="67000">
                  <a:srgbClr val="FF0000"/>
                </a:gs>
                <a:gs pos="66000">
                  <a:srgbClr val="FFFF00"/>
                </a:gs>
                <a:gs pos="33000">
                  <a:srgbClr val="FFFF00"/>
                </a:gs>
              </a:gsLst>
              <a:lin ang="1080000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Scorecard'!$P$20</c:f>
              <c:strCache>
                <c:ptCount val="1"/>
                <c:pt idx="0">
                  <c:v>Debt-to-Equity</c:v>
                </c:pt>
              </c:strCache>
            </c:strRef>
          </c:cat>
          <c:val>
            <c:numRef>
              <c:extLst>
                <c:ext xmlns:c15="http://schemas.microsoft.com/office/drawing/2012/chart" uri="{02D57815-91ED-43cb-92C2-25804820EDAC}">
                  <c15:fullRef>
                    <c15:sqref>'Financial Scorecard'!$R$18:$R$20</c15:sqref>
                  </c15:fullRef>
                </c:ext>
              </c:extLst>
              <c:f>'Financial Scorecard'!$R$20</c:f>
              <c:numCache>
                <c:formatCode>General</c:formatCode>
                <c:ptCount val="1"/>
                <c:pt idx="0">
                  <c:v>10</c:v>
                </c:pt>
              </c:numCache>
            </c:numRef>
          </c:val>
          <c:extLst>
            <c:ext xmlns:c16="http://schemas.microsoft.com/office/drawing/2014/chart" uri="{C3380CC4-5D6E-409C-BE32-E72D297353CC}">
              <c16:uniqueId val="{00000000-48C0-4735-9EB4-FA8E32587B59}"/>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Scorecard'!$S$18:$S$20</c15:sqref>
                  </c15:fullRef>
                </c:ext>
              </c:extLst>
              <c:f>'Financial Scorecard'!$S$20</c:f>
              <c:numCache>
                <c:formatCode>General</c:formatCode>
                <c:ptCount val="1"/>
                <c:pt idx="0">
                  <c:v>9.5150000000000006</c:v>
                </c:pt>
              </c:numCache>
            </c:numRef>
          </c:val>
          <c:extLst>
            <c:ext xmlns:c16="http://schemas.microsoft.com/office/drawing/2014/chart" uri="{C3380CC4-5D6E-409C-BE32-E72D297353CC}">
              <c16:uniqueId val="{00000001-48C0-4735-9EB4-FA8E32587B59}"/>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2.2310741544509101E-19"/>
                  <c:y val="0.31300180293588487"/>
                </c:manualLayout>
              </c:layout>
              <c:tx>
                <c:strRef>
                  <c:f>'Financial Scorecard'!$G$20</c:f>
                  <c:strCache>
                    <c:ptCount val="1"/>
                    <c:pt idx="0">
                      <c:v>0:1</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{97F82FB6-CA72-4305-8472-8E12AF675BCA}</c15:txfldGUID>
                      <c15:f>'Financial Scorecard'!$G$20</c15:f>
                      <c15:dlblFieldTableCache>
                        <c:ptCount val="1"/>
                        <c:pt idx="0">
                          <c:v>0:1</c:v>
                        </c:pt>
                      </c15:dlblFieldTableCache>
                    </c15:dlblFTEntry>
                  </c15:dlblFieldTable>
                  <c15:showDataLabelsRange val="0"/>
                </c:ext>
                <c:ext xmlns:c16="http://schemas.microsoft.com/office/drawing/2014/chart" uri="{C3380CC4-5D6E-409C-BE32-E72D297353CC}">
                  <c16:uniqueId val="{00000004-48C0-4735-9EB4-FA8E32587B5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Scorecard'!$T$18:$T$20</c15:sqref>
                  </c15:fullRef>
                </c:ext>
              </c:extLst>
              <c:f>'Financial Scorecard'!$T$20</c:f>
              <c:numCache>
                <c:formatCode>General</c:formatCode>
                <c:ptCount val="1"/>
                <c:pt idx="0">
                  <c:v>0.27</c:v>
                </c:pt>
              </c:numCache>
            </c:numRef>
          </c:val>
          <c:extLst>
            <c:ext xmlns:c16="http://schemas.microsoft.com/office/drawing/2014/chart" uri="{F5D05F6E-A05E-4728-AFD3-386EB277150F}">
              <c16:categoryFilterExceptions>
                <c16:categoryFilterException>
                  <c16:uniqueId val="{00000002-48C0-4735-9EB4-FA8E32587B59}"/>
                  <c16: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uri="{C3380CC4-5D6E-409C-BE32-E72D297353CC}">
                        <c16:uniqueId val="{00000002-48C0-4735-9EB4-FA8E32587B59}"/>
                      </c:ext>
                    </c:extLst>
                  </c16:dLbl>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2-48C0-4735-9EB4-FA8E32587B59}"/>
                </c16:ptentry>
              </c16:datapointuniqueidmap>
            </c:ext>
            <c:ext xmlns:c16="http://schemas.microsoft.com/office/drawing/2014/chart" uri="{C3380CC4-5D6E-409C-BE32-E72D297353CC}">
              <c16:uniqueId val="{00000003-48C0-4735-9EB4-FA8E32587B59}"/>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Scorecard'!$R$23:$R$26</c15:sqref>
                  </c15:fullRef>
                </c:ext>
              </c:extLst>
              <c:f>'Financial Scorecard'!$R$24</c:f>
              <c:numCache>
                <c:formatCode>General</c:formatCode>
                <c:ptCount val="1"/>
                <c:pt idx="0">
                  <c:v>10</c:v>
                </c:pt>
              </c:numCache>
            </c:numRef>
          </c:val>
          <c:extLst>
            <c:ext xmlns:c16="http://schemas.microsoft.com/office/drawing/2014/chart" uri="{C3380CC4-5D6E-409C-BE32-E72D297353CC}">
              <c16:uniqueId val="{00000000-1A66-4556-A336-4C524BB895E6}"/>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Scorecard'!$S$23:$S$26</c15:sqref>
                  </c15:fullRef>
                </c:ext>
              </c:extLst>
              <c:f>'Financial Scorecard'!$S$24</c:f>
              <c:numCache>
                <c:formatCode>General</c:formatCode>
                <c:ptCount val="1"/>
                <c:pt idx="0">
                  <c:v>0</c:v>
                </c:pt>
              </c:numCache>
            </c:numRef>
          </c:val>
          <c:extLst>
            <c:ext xmlns:c16="http://schemas.microsoft.com/office/drawing/2014/chart" uri="{C3380CC4-5D6E-409C-BE32-E72D297353CC}">
              <c16:uniqueId val="{00000001-1A66-4556-A336-4C524BB895E6}"/>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{1D6D3114-C196-499D-9D46-DB4428F9682E}</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2-1A66-4556-A336-4C524BB895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Scorecard'!$P$24</c:f>
              <c:strCache>
                <c:ptCount val="1"/>
                <c:pt idx="0">
                  <c:v>Return on Assets</c:v>
                </c:pt>
              </c:strCache>
            </c:strRef>
          </c:cat>
          <c:val>
            <c:numRef>
              <c:extLst>
                <c:ext xmlns:c15="http://schemas.microsoft.com/office/drawing/2012/chart" uri="{02D57815-91ED-43cb-92C2-25804820EDAC}">
                  <c15:fullRef>
                    <c15:sqref>'Financial Scorecard'!$T$23:$T$26</c15:sqref>
                  </c15:fullRef>
                </c:ext>
              </c:extLst>
              <c:f>'Financial Scorecard'!$T$24</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70AE-4616-9E7F-97B8BEC46800}"/>
                      </c:ext>
                    </c:extLst>
                  </c15:dLbl>
                </c15:categoryFilterException>
              </c15:categoryFilterExceptions>
            </c:ext>
            <c:ext xmlns:c16="http://schemas.microsoft.com/office/drawing/2014/chart" uri="{C3380CC4-5D6E-409C-BE32-E72D297353CC}">
              <c16:uniqueId val="{00000003-1A66-4556-A336-4C524BB895E6}"/>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Scorecard'!$R$23:$R$26</c15:sqref>
                  </c15:fullRef>
                </c:ext>
              </c:extLst>
              <c:f>'Financial Scorecard'!$R$25</c:f>
              <c:numCache>
                <c:formatCode>General</c:formatCode>
                <c:ptCount val="1"/>
                <c:pt idx="0">
                  <c:v>10</c:v>
                </c:pt>
              </c:numCache>
            </c:numRef>
          </c:val>
          <c:extLst>
            <c:ext xmlns:c16="http://schemas.microsoft.com/office/drawing/2014/chart" uri="{C3380CC4-5D6E-409C-BE32-E72D297353CC}">
              <c16:uniqueId val="{00000000-934F-47E3-AE38-7C66FD4EE8BC}"/>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Scorecard'!$S$23:$S$26</c15:sqref>
                  </c15:fullRef>
                </c:ext>
              </c:extLst>
              <c:f>'Financial Scorecard'!$S$25</c:f>
              <c:numCache>
                <c:formatCode>General</c:formatCode>
                <c:ptCount val="1"/>
                <c:pt idx="0">
                  <c:v>0</c:v>
                </c:pt>
              </c:numCache>
            </c:numRef>
          </c:val>
          <c:extLst>
            <c:ext xmlns:c16="http://schemas.microsoft.com/office/drawing/2014/chart" uri="{C3380CC4-5D6E-409C-BE32-E72D297353CC}">
              <c16:uniqueId val="{00000001-934F-47E3-AE38-7C66FD4EE8BC}"/>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30555555555555558"/>
                </c:manualLayout>
              </c:layout>
              <c:tx>
                <c:rich>
                  <a:bodyPr/>
                  <a:lstStyle/>
                  <a:p>
                    <a:fld id="{D174F8CA-63D4-4BC9-81AB-64593506C5A7}"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{D174F8CA-63D4-4BC9-81AB-64593506C5A7}</c15:txfldGUID>
                      <c15:f>'Financial Scorecard'!$G$25</c15:f>
                      <c15:dlblFieldTableCache>
                        <c:ptCount val="1"/>
                        <c:pt idx="0">
                          <c:v>0.0%</c:v>
                        </c:pt>
                      </c15:dlblFieldTableCache>
                    </c15:dlblFTEntry>
                  </c15:dlblFieldTable>
                  <c15:showDataLabelsRange val="0"/>
                </c:ext>
                <c:ext xmlns:c16="http://schemas.microsoft.com/office/drawing/2014/chart" uri="{C3380CC4-5D6E-409C-BE32-E72D297353CC}">
                  <c16:uniqueId val="{00000005-934F-47E3-AE38-7C66FD4EE8B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Scorecard'!$P$25</c:f>
              <c:strCache>
                <c:ptCount val="1"/>
                <c:pt idx="0">
                  <c:v>Return on Equity</c:v>
                </c:pt>
              </c:strCache>
            </c:strRef>
          </c:cat>
          <c:val>
            <c:numRef>
              <c:extLst>
                <c:ext xmlns:c15="http://schemas.microsoft.com/office/drawing/2012/chart" uri="{02D57815-91ED-43cb-92C2-25804820EDAC}">
                  <c15:fullRef>
                    <c15:sqref>'Financial Scorecard'!$T$23:$T$26</c15:sqref>
                  </c15:fullRef>
                </c:ext>
              </c:extLst>
              <c:f>'Financial Scorecard'!$T$25</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D400-4F71-869C-D54FC1F6E9A4}"/>
                      </c:ext>
                    </c:extLst>
                  </c15:dLbl>
                </c15:categoryFilterException>
                <c15:categoryFilterException>
                  <c15:sqref>'Financial Scorecard'!$T$24</c15:sqref>
                  <c15: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{381FA89B-B225-41A7-AAE3-DEB62C030176}</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1-D400-4F71-869C-D54FC1F6E9A4}"/>
                      </c:ext>
                    </c:extLst>
                  </c15:dLbl>
                </c15:categoryFilterException>
              </c15:categoryFilterExceptions>
            </c:ext>
            <c:ext xmlns:c16="http://schemas.microsoft.com/office/drawing/2014/chart" uri="{C3380CC4-5D6E-409C-BE32-E72D297353CC}">
              <c16:uniqueId val="{00000003-934F-47E3-AE38-7C66FD4EE8BC}"/>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Scorecard'!$R$22</c:f>
              <c:strCache>
                <c:ptCount val="1"/>
                <c:pt idx="0">
                  <c:v>Spectrum</c:v>
                </c:pt>
              </c:strCache>
            </c:strRef>
          </c:tx>
          <c:spPr>
            <a:gradFill flip="none" rotWithShape="1">
              <a:gsLst>
                <a:gs pos="67000">
                  <a:srgbClr val="00B050"/>
                </a:gs>
                <a:gs pos="32000">
                  <a:srgbClr val="FF0000"/>
                </a:gs>
                <a:gs pos="66000">
                  <a:srgbClr val="FFFF00"/>
                </a:gs>
                <a:gs pos="36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Scorecard'!$R$23:$R$26</c15:sqref>
                  </c15:fullRef>
                </c:ext>
              </c:extLst>
              <c:f>'Financial Scorecard'!$R$26</c:f>
              <c:numCache>
                <c:formatCode>General</c:formatCode>
                <c:ptCount val="1"/>
                <c:pt idx="0">
                  <c:v>10</c:v>
                </c:pt>
              </c:numCache>
            </c:numRef>
          </c:val>
          <c:extLst>
            <c:ext xmlns:c16="http://schemas.microsoft.com/office/drawing/2014/chart" uri="{C3380CC4-5D6E-409C-BE32-E72D297353CC}">
              <c16:uniqueId val="{00000000-8F84-4433-8A1A-03B5D70A7F29}"/>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Scorecard'!$S$23:$S$26</c15:sqref>
                  </c15:fullRef>
                </c:ext>
              </c:extLst>
              <c:f>'Financial Scorecard'!$S$26</c:f>
              <c:numCache>
                <c:formatCode>General</c:formatCode>
                <c:ptCount val="1"/>
                <c:pt idx="0">
                  <c:v>0</c:v>
                </c:pt>
              </c:numCache>
            </c:numRef>
          </c:val>
          <c:extLst>
            <c:ext xmlns:c16="http://schemas.microsoft.com/office/drawing/2014/chart" uri="{C3380CC4-5D6E-409C-BE32-E72D297353CC}">
              <c16:uniqueId val="{00000001-8F84-4433-8A1A-03B5D70A7F29}"/>
            </c:ext>
          </c:extLst>
        </c:ser>
        <c:ser>
          <c:idx val="0"/>
          <c:order val="2"/>
          <c:tx>
            <c:strRef>
              <c:f>'Financial Scorecard'!$T$22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6-8F84-4433-8A1A-03B5D70A7F2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Scorecard'!$P$23:$P$26</c15:sqref>
                  </c15:fullRef>
                </c:ext>
              </c:extLst>
              <c:f>'Financial Scorecard'!$P$26</c:f>
              <c:strCache>
                <c:ptCount val="1"/>
                <c:pt idx="0">
                  <c:v>Operating Profit Margin</c:v>
                </c:pt>
              </c:strCache>
            </c:strRef>
          </c:cat>
          <c:val>
            <c:numRef>
              <c:extLst>
                <c:ext xmlns:c15="http://schemas.microsoft.com/office/drawing/2012/chart" uri="{02D57815-91ED-43cb-92C2-25804820EDAC}">
                  <c15:fullRef>
                    <c15:sqref>'Financial Scorecard'!$T$23:$T$26</c15:sqref>
                  </c15:fullRef>
                </c:ext>
              </c:extLst>
              <c:f>'Financial Scorecard'!$T$26</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Scorecard'!$T$23</c15:sqref>
                  <c15: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0-3C93-4369-B0AF-2FE3936E29C2}"/>
                      </c:ext>
                    </c:extLst>
                  </c15:dLbl>
                </c15:categoryFilterException>
                <c15:categoryFilterException>
                  <c15:sqref>'Financial Scorecard'!$T$24</c15:sqref>
                  <c15: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{200C4B98-BBE6-4835-B971-A98D4947C1F3}</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1-3C93-4369-B0AF-2FE3936E29C2}"/>
                      </c:ext>
                    </c:extLst>
                  </c15:dLbl>
                </c15:categoryFilterException>
                <c15:categoryFilterException>
                  <c15:sqref>'Financial Scorecard'!$T$25</c15:sqref>
                  <c15:dLbl>
                    <c:idx val="-1"/>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3C93-4369-B0AF-2FE3936E29C2}"/>
                      </c:ext>
                    </c:extLst>
                  </c15:dLbl>
                </c15:categoryFilterException>
              </c15:categoryFilterExceptions>
            </c:ext>
            <c:ext xmlns:c16="http://schemas.microsoft.com/office/drawing/2014/chart" uri="{C3380CC4-5D6E-409C-BE32-E72D297353CC}">
              <c16:uniqueId val="{00000003-8F84-4433-8A1A-03B5D70A7F29}"/>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Scorecard'!$R$28</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f>'Financial Scorecard'!$P$29</c:f>
              <c:strCache>
                <c:ptCount val="1"/>
                <c:pt idx="0">
                  <c:v>Term Debt Coverage Ratio</c:v>
                </c:pt>
              </c:strCache>
            </c:strRef>
          </c:cat>
          <c:val>
            <c:numRef>
              <c:f>'Financial Scorecard'!$R$29</c:f>
              <c:numCache>
                <c:formatCode>General</c:formatCode>
                <c:ptCount val="1"/>
                <c:pt idx="0">
                  <c:v>10</c:v>
                </c:pt>
              </c:numCache>
            </c:numRef>
          </c:val>
          <c:extLst>
            <c:ext xmlns:c16="http://schemas.microsoft.com/office/drawing/2014/chart" uri="{C3380CC4-5D6E-409C-BE32-E72D297353CC}">
              <c16:uniqueId val="{00000000-57F7-4229-8C78-12AE7525BFD5}"/>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Scorecard'!$S$28</c:f>
              <c:strCache>
                <c:ptCount val="1"/>
                <c:pt idx="0">
                  <c:v>Slider Fill</c:v>
                </c:pt>
              </c:strCache>
            </c:strRef>
          </c:tx>
          <c:spPr>
            <a:noFill/>
            <a:ln>
              <a:noFill/>
            </a:ln>
            <a:effectLst/>
          </c:spPr>
          <c:invertIfNegative val="0"/>
          <c:cat>
            <c:strRef>
              <c:f>'Financial Scorecard'!$P$29</c:f>
              <c:strCache>
                <c:ptCount val="1"/>
                <c:pt idx="0">
                  <c:v>Term Debt Coverage Ratio</c:v>
                </c:pt>
              </c:strCache>
            </c:strRef>
          </c:cat>
          <c:val>
            <c:numRef>
              <c:f>'Financial Scorecard'!$S$29</c:f>
              <c:numCache>
                <c:formatCode>General</c:formatCode>
                <c:ptCount val="1"/>
                <c:pt idx="0">
                  <c:v>0</c:v>
                </c:pt>
              </c:numCache>
            </c:numRef>
          </c:val>
          <c:extLst>
            <c:ext xmlns:c16="http://schemas.microsoft.com/office/drawing/2014/chart" uri="{C3380CC4-5D6E-409C-BE32-E72D297353CC}">
              <c16:uniqueId val="{00000001-57F7-4229-8C78-12AE7525BFD5}"/>
            </c:ext>
          </c:extLst>
        </c:ser>
        <c:ser>
          <c:idx val="0"/>
          <c:order val="2"/>
          <c:tx>
            <c:strRef>
              <c:f>'Financial Scorecard'!$T$28</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1E74BCB3-730C-4F5B-91A7-285343ABE5DB}" type="CELLREF">
                      <a:rPr lang="en-US"/>
                      <a:pPr/>
                      <a:t>[CELLREF]</a:t>
                    </a:fld>
                    <a:endParaRPr lang="en-US"/>
                  </a:p>
                </c:rich>
              </c:tx>
              <c:showLegendKey val="0"/>
              <c:showVal val="1"/>
              <c:showCatName val="0"/>
              <c:showSerName val="0"/>
              <c:showPercent val="0"/>
              <c:showBubbleSize val="0"/>
              <c:extLst xmlns:c16="http://schemas.microsoft.com/office/drawing/2014/chart" xmlns:c15="http://schemas.microsoft.com/office/drawing/2012/chart">
                <c:ext xmlns:c15="http://schemas.microsoft.com/office/drawing/2012/chart" uri="{CE6537A1-D6FC-4f65-9D91-7224C49458BB}">
                  <c15:dlblFieldTable>
                    <c15:dlblFTEntry>
                      <c15:txfldGUID>{1E74BCB3-730C-4F5B-91A7-285343ABE5DB}</c15:txfldGUID>
                      <c15:f>'Financial Scorecard'!$G$29</c15:f>
                      <c15:dlblFieldTableCache>
                        <c:ptCount val="1"/>
                        <c:pt idx="0">
                          <c:v>0:1</c:v>
                        </c:pt>
                      </c15:dlblFieldTableCache>
                    </c15:dlblFTEntry>
                  </c15:dlblFieldTable>
                  <c15:showDataLabelsRange val="0"/>
                </c:ext>
                <c:ext xmlns:c16="http://schemas.microsoft.com/office/drawing/2014/chart" uri="{C3380CC4-5D6E-409C-BE32-E72D297353CC}">
                  <c16:uniqueId val="{00000004-57F7-4229-8C78-12AE7525BFD5}"/>
                </c:ext>
              </c:extLst>
            </c:dLbl>
            <c:dLbl>
              <c:idx val="1"/>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{2532147C-F5B5-4D66-B640-E677A22F4BA5}</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5-57F7-4229-8C78-12AE7525BFD5}"/>
                </c:ext>
              </c:extLst>
            </c:dLbl>
            <c:dLbl>
              <c:idx val="2"/>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6-57F7-4229-8C78-12AE7525BFD5}"/>
                </c:ext>
              </c:extLst>
            </c:dLbl>
            <c:dLbl>
              <c:idx val="3"/>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57F7-4229-8C78-12AE7525BF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Scorecard'!$P$29</c:f>
              <c:strCache>
                <c:ptCount val="1"/>
                <c:pt idx="0">
                  <c:v>Term Debt Coverage Ratio</c:v>
                </c:pt>
              </c:strCache>
            </c:strRef>
          </c:cat>
          <c:val>
            <c:numRef>
              <c:f>'Financial Scorecard'!$T$29</c:f>
              <c:numCache>
                <c:formatCode>General</c:formatCode>
                <c:ptCount val="1"/>
                <c:pt idx="0">
                  <c:v>0.27</c:v>
                </c:pt>
              </c:numCache>
            </c:numRef>
          </c:val>
          <c:extLst>
            <c:ext xmlns:c16="http://schemas.microsoft.com/office/drawing/2014/chart" uri="{C3380CC4-5D6E-409C-BE32-E72D297353CC}">
              <c16:uniqueId val="{00000003-57F7-4229-8C78-12AE7525BFD5}"/>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Scorecard'!$R$32:$R$36</c15:sqref>
                  </c15:fullRef>
                </c:ext>
              </c:extLst>
              <c:f>'Financial Scorecard'!$R$32</c:f>
              <c:numCache>
                <c:formatCode>General</c:formatCode>
                <c:ptCount val="1"/>
                <c:pt idx="0">
                  <c:v>10</c:v>
                </c:pt>
              </c:numCache>
            </c:numRef>
          </c:val>
          <c:extLst>
            <c:ext xmlns:c16="http://schemas.microsoft.com/office/drawing/2014/chart" uri="{C3380CC4-5D6E-409C-BE32-E72D297353CC}">
              <c16:uniqueId val="{00000000-DBD3-4D04-8C7B-54D0FFCFA37D}"/>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Scorecard'!$S$32:$S$36</c15:sqref>
                  </c15:fullRef>
                </c:ext>
              </c:extLst>
              <c:f>'Financial Scorecard'!$S$32</c:f>
              <c:numCache>
                <c:formatCode>General</c:formatCode>
                <c:ptCount val="1"/>
                <c:pt idx="0">
                  <c:v>0</c:v>
                </c:pt>
              </c:numCache>
            </c:numRef>
          </c:val>
          <c:extLst>
            <c:ext xmlns:c16="http://schemas.microsoft.com/office/drawing/2014/chart" uri="{C3380CC4-5D6E-409C-BE32-E72D297353CC}">
              <c16:uniqueId val="{00000001-DBD3-4D04-8C7B-54D0FFCFA37D}"/>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xmlns:c15="http://schemas.microsoft.com/office/drawing/2012/chart">
                <c:ext xmlns:c15="http://schemas.microsoft.com/office/drawing/2012/char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2-DBD3-4D04-8C7B-54D0FFCFA37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Scorecard'!$P$32</c:f>
              <c:strCache>
                <c:ptCount val="1"/>
                <c:pt idx="0">
                  <c:v>Asset-Turnover Ratio</c:v>
                </c:pt>
              </c:strCache>
            </c:strRef>
          </c:cat>
          <c:val>
            <c:numRef>
              <c:extLst>
                <c:ext xmlns:c15="http://schemas.microsoft.com/office/drawing/2012/chart" uri="{02D57815-91ED-43cb-92C2-25804820EDAC}">
                  <c15:fullRef>
                    <c15:sqref>'Financial Scorecard'!$T$32:$T$36</c15:sqref>
                  </c15:fullRef>
                </c:ext>
              </c:extLst>
              <c:f>'Financial Scorecard'!$T$32</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Scorecard'!$T$33</c15:sqref>
                  <c15:dLbl>
                    <c:idx val="0"/>
                    <c:layout>
                      <c:manualLayout>
                        <c:x val="6.2308536171331794E-3"/>
                        <c:y val="0.31300369876751988"/>
                      </c:manualLayout>
                    </c:layout>
                    <c:tx>
                      <c:strRef>
                        <c:f>'Financial Scorecard'!$G$24</c:f>
                        <c:strCache>
                          <c:ptCount val="1"/>
                          <c:pt idx="0">
                            <c:v>0.0%</c:v>
                          </c:pt>
                        </c:strCache>
                      </c:strRef>
                    </c:tx>
                    <c:showLegendKey val="0"/>
                    <c:showVal val="1"/>
                    <c:showCatName val="0"/>
                    <c:showSerName val="0"/>
                    <c:showPercent val="0"/>
                    <c:showBubbleSize val="0"/>
                    <c:extLst>
                      <c:ext uri="{CE6537A1-D6FC-4f65-9D91-7224C49458BB}">
                        <c15:dlblFieldTable>
                          <c15:dlblFTEntry>
                            <c15:txfldGUID>{37F9D7EF-046B-4ED6-95CF-EEDC0CB71792}</c15:txfldGUID>
                            <c15:f>'Financial Scorecard'!$G$24</c15:f>
                            <c15:dlblFieldTableCache>
                              <c:ptCount val="1"/>
                              <c:pt idx="0">
                                <c:v>0.0%</c:v>
                              </c:pt>
                            </c15:dlblFieldTableCache>
                          </c15:dlblFTEntry>
                        </c15:dlblFieldTable>
                        <c15:showDataLabelsRange val="0"/>
                      </c:ext>
                      <c:ext xmlns:c16="http://schemas.microsoft.com/office/drawing/2014/chart" uri="{C3380CC4-5D6E-409C-BE32-E72D297353CC}">
                        <c16:uniqueId val="{00000000-891A-466E-8AAB-FD54B2477621}"/>
                      </c:ext>
                    </c:extLst>
                  </c15:dLbl>
                </c15:categoryFilterException>
                <c15:categoryFilterException>
                  <c15:sqref>'Financial Scorecard'!$T$34</c15:sqref>
                  <c15:dLbl>
                    <c:idx val="0"/>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1-891A-466E-8AAB-FD54B2477621}"/>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891A-466E-8AAB-FD54B2477621}"/>
                      </c:ext>
                    </c:extLst>
                  </c15:dLbl>
                </c15:categoryFilterException>
              </c15:categoryFilterExceptions>
            </c:ext>
            <c:ext xmlns:c16="http://schemas.microsoft.com/office/drawing/2014/chart" uri="{C3380CC4-5D6E-409C-BE32-E72D297353CC}">
              <c16:uniqueId val="{00000006-DBD3-4D04-8C7B-54D0FFCFA37D}"/>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Scorecard'!$R$32:$R$36</c15:sqref>
                  </c15:fullRef>
                </c:ext>
              </c:extLst>
              <c:f>'Financial Scorecard'!$R$33</c:f>
              <c:numCache>
                <c:formatCode>General</c:formatCode>
                <c:ptCount val="1"/>
                <c:pt idx="0">
                  <c:v>10</c:v>
                </c:pt>
              </c:numCache>
            </c:numRef>
          </c:val>
          <c:extLst>
            <c:ext xmlns:c16="http://schemas.microsoft.com/office/drawing/2014/chart" uri="{C3380CC4-5D6E-409C-BE32-E72D297353CC}">
              <c16:uniqueId val="{00000000-AAA8-450A-81CF-679F07D94CDE}"/>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Scorecard'!$S$32:$S$36</c15:sqref>
                  </c15:fullRef>
                </c:ext>
              </c:extLst>
              <c:f>'Financial Scorecard'!$S$33</c:f>
              <c:numCache>
                <c:formatCode>General</c:formatCode>
                <c:ptCount val="1"/>
                <c:pt idx="0">
                  <c:v>9.8650000000000002</c:v>
                </c:pt>
              </c:numCache>
            </c:numRef>
          </c:val>
          <c:extLst>
            <c:ext xmlns:c16="http://schemas.microsoft.com/office/drawing/2014/chart" uri="{C3380CC4-5D6E-409C-BE32-E72D297353CC}">
              <c16:uniqueId val="{00000001-AAA8-450A-81CF-679F07D94CDE}"/>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{BBD6F489-F6DC-4D4F-B61F-38E8A062BE72}</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4-AAA8-450A-81CF-679F07D94CD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Scorecard'!$P$33</c:f>
              <c:strCache>
                <c:ptCount val="1"/>
                <c:pt idx="0">
                  <c:v>Operating Expense Ratio</c:v>
                </c:pt>
              </c:strCache>
            </c:strRef>
          </c:cat>
          <c:val>
            <c:numRef>
              <c:extLst>
                <c:ext xmlns:c15="http://schemas.microsoft.com/office/drawing/2012/chart" uri="{02D57815-91ED-43cb-92C2-25804820EDAC}">
                  <c15:fullRef>
                    <c15:sqref>'Financial Scorecard'!$T$32:$T$36</c15:sqref>
                  </c15:fullRef>
                </c:ext>
              </c:extLst>
              <c:f>'Financial Scorecard'!$T$33</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DFE3-480D-A697-7B01BE6A2A02}"/>
                      </c:ext>
                    </c:extLst>
                  </c15:dLbl>
                </c15:categoryFilterException>
                <c15:categoryFilterException>
                  <c15:sqref>'Financial Scorecard'!$T$34</c15:sqref>
                  <c15:dLbl>
                    <c:idx val="0"/>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1-DFE3-480D-A697-7B01BE6A2A02}"/>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DFE3-480D-A697-7B01BE6A2A02}"/>
                      </c:ext>
                    </c:extLst>
                  </c15:dLbl>
                </c15:categoryFilterException>
              </c15:categoryFilterExceptions>
            </c:ext>
            <c:ext xmlns:c16="http://schemas.microsoft.com/office/drawing/2014/chart" uri="{C3380CC4-5D6E-409C-BE32-E72D297353CC}">
              <c16:uniqueId val="{00000003-AAA8-450A-81CF-679F07D94CDE}"/>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Scorecard'!$R$32:$R$36</c15:sqref>
                  </c15:fullRef>
                </c:ext>
              </c:extLst>
              <c:f>'Financial Scorecard'!$R$34</c:f>
              <c:numCache>
                <c:formatCode>General</c:formatCode>
                <c:ptCount val="1"/>
                <c:pt idx="0">
                  <c:v>10</c:v>
                </c:pt>
              </c:numCache>
            </c:numRef>
          </c:val>
          <c:extLst>
            <c:ext xmlns:c16="http://schemas.microsoft.com/office/drawing/2014/chart" uri="{C3380CC4-5D6E-409C-BE32-E72D297353CC}">
              <c16:uniqueId val="{00000000-16F7-487B-B11E-967B5011CE8F}"/>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Scorecard'!$S$32:$S$36</c15:sqref>
                  </c15:fullRef>
                </c:ext>
              </c:extLst>
              <c:f>'Financial Scorecard'!$S$34</c:f>
              <c:numCache>
                <c:formatCode>General</c:formatCode>
                <c:ptCount val="1"/>
                <c:pt idx="0">
                  <c:v>9.8650000000000002</c:v>
                </c:pt>
              </c:numCache>
            </c:numRef>
          </c:val>
          <c:extLst>
            <c:ext xmlns:c16="http://schemas.microsoft.com/office/drawing/2014/chart" uri="{C3380CC4-5D6E-409C-BE32-E72D297353CC}">
              <c16:uniqueId val="{00000001-16F7-487B-B11E-967B5011CE8F}"/>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30555555555555558"/>
                </c:manualLayout>
              </c:layout>
              <c:tx>
                <c:rich>
                  <a:bodyPr/>
                  <a:lstStyle/>
                  <a:p>
                    <a:fld id="{BE49966E-63CF-4853-A587-FDB404C6F424}"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{BE49966E-63CF-4853-A587-FDB404C6F424}</c15:txfldGUID>
                      <c15:f>'Financial Scorecard'!$G$34</c15:f>
                      <c15:dlblFieldTableCache>
                        <c:ptCount val="1"/>
                        <c:pt idx="0">
                          <c:v>0.0%</c:v>
                        </c:pt>
                      </c15:dlblFieldTableCache>
                    </c15:dlblFTEntry>
                  </c15:dlblFieldTable>
                  <c15:showDataLabelsRange val="0"/>
                </c:ext>
                <c:ext xmlns:c16="http://schemas.microsoft.com/office/drawing/2014/chart" uri="{C3380CC4-5D6E-409C-BE32-E72D297353CC}">
                  <c16:uniqueId val="{00000005-16F7-487B-B11E-967B5011CE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Scorecard'!$P$34</c:f>
              <c:strCache>
                <c:ptCount val="1"/>
                <c:pt idx="0">
                  <c:v>Interest Expense Ratio</c:v>
                </c:pt>
              </c:strCache>
            </c:strRef>
          </c:cat>
          <c:val>
            <c:numRef>
              <c:extLst>
                <c:ext xmlns:c15="http://schemas.microsoft.com/office/drawing/2012/chart" uri="{02D57815-91ED-43cb-92C2-25804820EDAC}">
                  <c15:fullRef>
                    <c15:sqref>'Financial Scorecard'!$T$32:$T$36</c15:sqref>
                  </c15:fullRef>
                </c:ext>
              </c:extLst>
              <c:f>'Financial Scorecard'!$T$34</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1A9C-4DD2-B70C-B86CBCE96EBF}"/>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{7044DCC8-C14E-4B24-8FF1-48E06BB2D5AB}</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1A9C-4DD2-B70C-B86CBCE96EBF}"/>
                      </c:ext>
                    </c:extLst>
                  </c15:dLbl>
                </c15:categoryFilterException>
                <c15:categoryFilterException>
                  <c15:sqref>'Financial Scorecard'!$T$35</c15:sqref>
                  <c15:dLbl>
                    <c:idx val="0"/>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1A9C-4DD2-B70C-B86CBCE96EBF}"/>
                      </c:ext>
                    </c:extLst>
                  </c15:dLbl>
                </c15:categoryFilterException>
              </c15:categoryFilterExceptions>
            </c:ext>
            <c:ext xmlns:c16="http://schemas.microsoft.com/office/drawing/2014/chart" uri="{C3380CC4-5D6E-409C-BE32-E72D297353CC}">
              <c16:uniqueId val="{00000003-16F7-487B-B11E-967B5011CE8F}"/>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Scorecard'!$R$32:$R$36</c15:sqref>
                  </c15:fullRef>
                </c:ext>
              </c:extLst>
              <c:f>'Financial Scorecard'!$R$35</c:f>
              <c:numCache>
                <c:formatCode>General</c:formatCode>
                <c:ptCount val="1"/>
                <c:pt idx="0">
                  <c:v>10</c:v>
                </c:pt>
              </c:numCache>
            </c:numRef>
          </c:val>
          <c:extLst>
            <c:ext xmlns:c16="http://schemas.microsoft.com/office/drawing/2014/chart" uri="{C3380CC4-5D6E-409C-BE32-E72D297353CC}">
              <c16:uniqueId val="{00000000-F24A-4303-9238-EBC2F9DE5AE7}"/>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Scorecard'!$S$32:$S$36</c15:sqref>
                  </c15:fullRef>
                </c:ext>
              </c:extLst>
              <c:f>'Financial Scorecard'!$S$35</c:f>
              <c:numCache>
                <c:formatCode>General</c:formatCode>
                <c:ptCount val="1"/>
                <c:pt idx="0">
                  <c:v>7.0078571428571435</c:v>
                </c:pt>
              </c:numCache>
            </c:numRef>
          </c:val>
          <c:extLst>
            <c:ext xmlns:c16="http://schemas.microsoft.com/office/drawing/2014/chart" uri="{C3380CC4-5D6E-409C-BE32-E72D297353CC}">
              <c16:uniqueId val="{00000001-F24A-4303-9238-EBC2F9DE5AE7}"/>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0"/>
                  <c:y val="0.27777777777777779"/>
                </c:manualLayout>
              </c:layout>
              <c:tx>
                <c:rich>
                  <a:bodyPr/>
                  <a:lstStyle/>
                  <a:p>
                    <a:fld id="{8ADC38CA-F0CE-4ECD-B2F2-FC94E35706F9}" type="CELLREF">
                      <a:rPr lang="en-US"/>
                      <a:pPr/>
                      <a:t>[CELLREF]</a:t>
                    </a:fld>
                    <a:endParaRPr lang="en-US"/>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dlblFTEntry>
                      <c15:txfldGUID>{8ADC38CA-F0CE-4ECD-B2F2-FC94E35706F9}</c15:txfldGUID>
                      <c15:f>'Financial Scorecard'!$G$35</c15:f>
                      <c15:dlblFieldTableCache>
                        <c:ptCount val="1"/>
                        <c:pt idx="0">
                          <c:v>0.0%</c:v>
                        </c:pt>
                      </c15:dlblFieldTableCache>
                    </c15:dlblFTEntry>
                  </c15:dlblFieldTable>
                  <c15:showDataLabelsRange val="0"/>
                </c:ext>
                <c:ext xmlns:c16="http://schemas.microsoft.com/office/drawing/2014/chart" uri="{C3380CC4-5D6E-409C-BE32-E72D297353CC}">
                  <c16:uniqueId val="{00000006-F24A-4303-9238-EBC2F9DE5AE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Scorecard'!$P$35</c:f>
              <c:strCache>
                <c:ptCount val="1"/>
                <c:pt idx="0">
                  <c:v>Depreciation Expense Ratio</c:v>
                </c:pt>
              </c:strCache>
            </c:strRef>
          </c:cat>
          <c:val>
            <c:numRef>
              <c:extLst>
                <c:ext xmlns:c15="http://schemas.microsoft.com/office/drawing/2012/chart" uri="{02D57815-91ED-43cb-92C2-25804820EDAC}">
                  <c15:fullRef>
                    <c15:sqref>'Financial Scorecard'!$T$32:$T$36</c15:sqref>
                  </c15:fullRef>
                </c:ext>
              </c:extLst>
              <c:f>'Financial Scorecard'!$T$35</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A248-4F37-8C0D-A10A5AF3F2B1}"/>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{FDD44007-3595-4464-83D3-D32F26EE2C6D}</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A248-4F37-8C0D-A10A5AF3F2B1}"/>
                      </c:ext>
                    </c:extLst>
                  </c15:dLbl>
                </c15:categoryFilterException>
                <c15:categoryFilterException>
                  <c15:sqref>'Financial Scorecard'!$T$34</c15:sqref>
                  <c15:dLbl>
                    <c:idx val="-1"/>
                    <c:layout>
                      <c:manualLayout>
                        <c:x val="0"/>
                        <c:y val="0.30555555555555558"/>
                      </c:manualLayout>
                    </c:layout>
                    <c:tx>
                      <c:rich>
                        <a:bodyPr/>
                        <a:lstStyle/>
                        <a:p>
                          <a:fld id="{BE49966E-63CF-4853-A587-FDB404C6F424}"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{BE49966E-63CF-4853-A587-FDB404C6F424}</c15:txfldGUID>
                            <c15:f>'Financial Scorecard'!$G$34</c15:f>
                            <c15:dlblFieldTableCache>
                              <c:ptCount val="1"/>
                              <c:pt idx="0">
                                <c:v>0.0%</c:v>
                              </c:pt>
                            </c15:dlblFieldTableCache>
                          </c15:dlblFTEntry>
                        </c15:dlblFieldTable>
                        <c15:showDataLabelsRange val="0"/>
                      </c:ext>
                      <c:ext xmlns:c16="http://schemas.microsoft.com/office/drawing/2014/chart" uri="{C3380CC4-5D6E-409C-BE32-E72D297353CC}">
                        <c16:uniqueId val="{00000002-A248-4F37-8C0D-A10A5AF3F2B1}"/>
                      </c:ext>
                    </c:extLst>
                  </c15:dLbl>
                </c15:categoryFilterException>
              </c15:categoryFilterExceptions>
            </c:ext>
            <c:ext xmlns:c16="http://schemas.microsoft.com/office/drawing/2014/chart" uri="{C3380CC4-5D6E-409C-BE32-E72D297353CC}">
              <c16:uniqueId val="{00000003-F24A-4303-9238-EBC2F9DE5AE7}"/>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strRef>
              <c:f>'Financial Scorecard'!$R$31</c:f>
              <c:strCache>
                <c:ptCount val="1"/>
                <c:pt idx="0">
                  <c:v>Spectrum</c:v>
                </c:pt>
              </c:strCache>
            </c:strRef>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Scorecard'!$R$32:$R$36</c15:sqref>
                  </c15:fullRef>
                </c:ext>
              </c:extLst>
              <c:f>'Financial Scorecard'!$R$36</c:f>
              <c:numCache>
                <c:formatCode>General</c:formatCode>
                <c:ptCount val="1"/>
                <c:pt idx="0">
                  <c:v>10</c:v>
                </c:pt>
              </c:numCache>
            </c:numRef>
          </c:val>
          <c:extLst>
            <c:ext xmlns:c16="http://schemas.microsoft.com/office/drawing/2014/chart" uri="{C3380CC4-5D6E-409C-BE32-E72D297353CC}">
              <c16:uniqueId val="{00000000-DCDE-4715-A2E6-0D2ACCE9FC48}"/>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strRef>
              <c:f>'Financial Scorecard'!$S$31</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Scorecard'!$S$32:$S$36</c15:sqref>
                  </c15:fullRef>
                </c:ext>
              </c:extLst>
              <c:f>'Financial Scorecard'!$S$36</c:f>
              <c:numCache>
                <c:formatCode>General</c:formatCode>
                <c:ptCount val="1"/>
                <c:pt idx="0">
                  <c:v>0</c:v>
                </c:pt>
              </c:numCache>
            </c:numRef>
          </c:val>
          <c:extLst>
            <c:ext xmlns:c16="http://schemas.microsoft.com/office/drawing/2014/chart" uri="{C3380CC4-5D6E-409C-BE32-E72D297353CC}">
              <c16:uniqueId val="{00000001-DCDE-4715-A2E6-0D2ACCE9FC48}"/>
            </c:ext>
          </c:extLst>
        </c:ser>
        <c:ser>
          <c:idx val="0"/>
          <c:order val="2"/>
          <c:tx>
            <c:strRef>
              <c:f>'Financial Scorecard'!$T$31</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5.7115498353943299E-17"/>
                  <c:y val="0.27777777777777779"/>
                </c:manualLayout>
              </c:layout>
              <c:tx>
                <c:rich>
                  <a:bodyPr/>
                  <a:lstStyle/>
                  <a:p>
                    <a:fld id="{308BB4DD-E32A-4F11-B4BF-26F8731BFCF3}"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{308BB4DD-E32A-4F11-B4BF-26F8731BFCF3}</c15:txfldGUID>
                      <c15:f>'Financial Scorecard'!$G$36</c15:f>
                      <c15:dlblFieldTableCache>
                        <c:ptCount val="1"/>
                        <c:pt idx="0">
                          <c:v>0.0%</c:v>
                        </c:pt>
                      </c15:dlblFieldTableCache>
                    </c15:dlblFTEntry>
                  </c15:dlblFieldTable>
                  <c15:showDataLabelsRange val="0"/>
                </c:ext>
                <c:ext xmlns:c16="http://schemas.microsoft.com/office/drawing/2014/chart" uri="{C3380CC4-5D6E-409C-BE32-E72D297353CC}">
                  <c16:uniqueId val="{00000007-DCDE-4715-A2E6-0D2ACCE9FC4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Scorecard'!$P$32:$P$36</c15:sqref>
                  </c15:fullRef>
                </c:ext>
              </c:extLst>
              <c:f>'Financial Scorecard'!$P$36</c:f>
              <c:strCache>
                <c:ptCount val="1"/>
                <c:pt idx="0">
                  <c:v>Net Income Ratio</c:v>
                </c:pt>
              </c:strCache>
            </c:strRef>
          </c:cat>
          <c:val>
            <c:numRef>
              <c:extLst>
                <c:ext xmlns:c15="http://schemas.microsoft.com/office/drawing/2012/chart" uri="{02D57815-91ED-43cb-92C2-25804820EDAC}">
                  <c15:fullRef>
                    <c15:sqref>'Financial Scorecard'!$T$32:$T$36</c15:sqref>
                  </c15:fullRef>
                </c:ext>
              </c:extLst>
              <c:f>'Financial Scorecard'!$T$36</c:f>
              <c:numCache>
                <c:formatCode>General</c:formatCode>
                <c:ptCount val="1"/>
                <c:pt idx="0">
                  <c:v>0.27</c:v>
                </c:pt>
              </c:numCache>
            </c:numRef>
          </c:val>
          <c:extLst>
            <c:ext xmlns:c15="http://schemas.microsoft.com/office/drawing/2012/chart" uri="{02D57815-91ED-43cb-92C2-25804820EDAC}">
              <c15:categoryFilterExceptions>
                <c15:categoryFilterException>
                  <c15:sqref>'Financial Scorecard'!$T$32</c15:sqref>
                  <c15:dLbl>
                    <c:idx val="-1"/>
                    <c:layout>
                      <c:manualLayout>
                        <c:x val="0"/>
                        <c:y val="0.28892663700322102"/>
                      </c:manualLayout>
                    </c:layout>
                    <c:tx>
                      <c:rich>
                        <a:bodyPr/>
                        <a:lstStyle/>
                        <a:p>
                          <a:fld id="{CA6FA06F-D3F9-4074-B433-41FD3F4B1CFF}" type="CELLREF">
                            <a:rPr lang="en-US"/>
                            <a:pPr/>
                            <a:t>[CELLREF]</a:t>
                          </a:fld>
                          <a:endParaRPr lang="en-US"/>
                        </a:p>
                      </c:rich>
                    </c:tx>
                    <c:showLegendKey val="0"/>
                    <c:showVal val="1"/>
                    <c:showCatName val="0"/>
                    <c:showSerName val="0"/>
                    <c:showPercent val="0"/>
                    <c:showBubbleSize val="0"/>
                    <c:extLst xmlns:c16="http://schemas.microsoft.com/office/drawing/2014/chart">
                      <c:ext uri="{CE6537A1-D6FC-4f65-9D91-7224C49458BB}">
                        <c15:dlblFieldTable>
                          <c15:dlblFTEntry>
                            <c15:txfldGUID>{CA6FA06F-D3F9-4074-B433-41FD3F4B1CFF}</c15:txfldGUID>
                            <c15:f>'Financial Scorecard'!$G$32</c15:f>
                            <c15:dlblFieldTableCache>
                              <c:ptCount val="1"/>
                              <c:pt idx="0">
                                <c:v>0.0%</c:v>
                              </c:pt>
                            </c15:dlblFieldTableCache>
                          </c15:dlblFTEntry>
                        </c15:dlblFieldTable>
                        <c15:showDataLabelsRange val="0"/>
                      </c:ext>
                      <c:ext xmlns:c16="http://schemas.microsoft.com/office/drawing/2014/chart" uri="{C3380CC4-5D6E-409C-BE32-E72D297353CC}">
                        <c16:uniqueId val="{00000000-0580-49D8-9EB3-99714C73CE89}"/>
                      </c:ext>
                    </c:extLst>
                  </c15:dLbl>
                </c15:categoryFilterException>
                <c15:categoryFilterException>
                  <c15:sqref>'Financial Scorecard'!$T$33</c15:sqref>
                  <c15:dLbl>
                    <c:idx val="-1"/>
                    <c:layout>
                      <c:manualLayout>
                        <c:x val="6.2308536171331794E-3"/>
                        <c:y val="0.31300369876751988"/>
                      </c:manualLayout>
                    </c:layout>
                    <c:tx>
                      <c:strRef>
                        <c:f>'Financial Scorecard'!$G$33</c:f>
                        <c:strCache>
                          <c:ptCount val="1"/>
                          <c:pt idx="0">
                            <c:v>0.0%</c:v>
                          </c:pt>
                        </c:strCache>
                      </c:strRef>
                    </c:tx>
                    <c:showLegendKey val="0"/>
                    <c:showVal val="1"/>
                    <c:showCatName val="0"/>
                    <c:showSerName val="0"/>
                    <c:showPercent val="0"/>
                    <c:showBubbleSize val="0"/>
                    <c:extLst>
                      <c:ext uri="{CE6537A1-D6FC-4f65-9D91-7224C49458BB}">
                        <c15:dlblFieldTable>
                          <c15:dlblFTEntry>
                            <c15:txfldGUID>{2BF33078-C67E-4704-97D0-2489E007D076}</c15:txfldGUID>
                            <c15:f>'Financial Scorecard'!$G$33</c15:f>
                            <c15:dlblFieldTableCache>
                              <c:ptCount val="1"/>
                              <c:pt idx="0">
                                <c:v>0.0%</c:v>
                              </c:pt>
                            </c15:dlblFieldTableCache>
                          </c15:dlblFTEntry>
                        </c15:dlblFieldTable>
                        <c15:showDataLabelsRange val="0"/>
                      </c:ext>
                      <c:ext xmlns:c16="http://schemas.microsoft.com/office/drawing/2014/chart" uri="{C3380CC4-5D6E-409C-BE32-E72D297353CC}">
                        <c16:uniqueId val="{00000001-0580-49D8-9EB3-99714C73CE89}"/>
                      </c:ext>
                    </c:extLst>
                  </c15:dLbl>
                </c15:categoryFilterException>
                <c15:categoryFilterException>
                  <c15:sqref>'Financial Scorecard'!$T$34</c15:sqref>
                  <c15:dLbl>
                    <c:idx val="-1"/>
                    <c:layout>
                      <c:manualLayout>
                        <c:x val="0"/>
                        <c:y val="0.30555555555555558"/>
                      </c:manualLayout>
                    </c:layout>
                    <c:tx>
                      <c:rich>
                        <a:bodyPr/>
                        <a:lstStyle/>
                        <a:p>
                          <a:fld id="{AC361A47-63B0-4BA1-A55D-E6B6BC0F7D0F}"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{AC361A47-63B0-4BA1-A55D-E6B6BC0F7D0F}</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2-0580-49D8-9EB3-99714C73CE89}"/>
                      </c:ext>
                    </c:extLst>
                  </c15:dLbl>
                </c15:categoryFilterException>
                <c15:categoryFilterException>
                  <c15:sqref>'Financial Scorecard'!$T$35</c15:sqref>
                  <c15:dLbl>
                    <c:idx val="-1"/>
                    <c:layout>
                      <c:manualLayout>
                        <c:x val="0"/>
                        <c:y val="0.27777777777777779"/>
                      </c:manualLayout>
                    </c:layout>
                    <c:tx>
                      <c:rich>
                        <a:bodyPr/>
                        <a:lstStyle/>
                        <a:p>
                          <a:fld id="{7021C411-9FDD-4BD3-89DB-812EB74C1A93}" type="CELLREF">
                            <a:rPr lang="en-US"/>
                            <a:pPr/>
                            <a:t>[CELLREF]</a:t>
                          </a:fld>
                          <a:endParaRPr lang="en-US"/>
                        </a:p>
                      </c:rich>
                    </c:tx>
                    <c:showLegendKey val="0"/>
                    <c:showVal val="1"/>
                    <c:showCatName val="0"/>
                    <c:showSerName val="0"/>
                    <c:showPercent val="0"/>
                    <c:showBubbleSize val="0"/>
                    <c:extLst>
                      <c:ext uri="{CE6537A1-D6FC-4f65-9D91-7224C49458BB}">
                        <c15:dlblFieldTable>
                          <c15:dlblFTEntry>
                            <c15:txfldGUID>{7021C411-9FDD-4BD3-89DB-812EB74C1A93}</c15:txfldGUID>
                            <c15:f>'Financial Scorecard'!$G$26</c15:f>
                            <c15:dlblFieldTableCache>
                              <c:ptCount val="1"/>
                              <c:pt idx="0">
                                <c:v>0.0%</c:v>
                              </c:pt>
                            </c15:dlblFieldTableCache>
                          </c15:dlblFTEntry>
                        </c15:dlblFieldTable>
                        <c15:showDataLabelsRange val="0"/>
                      </c:ext>
                      <c:ext xmlns:c16="http://schemas.microsoft.com/office/drawing/2014/chart" uri="{C3380CC4-5D6E-409C-BE32-E72D297353CC}">
                        <c16:uniqueId val="{00000003-0580-49D8-9EB3-99714C73CE89}"/>
                      </c:ext>
                    </c:extLst>
                  </c15:dLbl>
                </c15:categoryFilterException>
              </c15:categoryFilterExceptions>
            </c:ext>
            <c:ext xmlns:c16="http://schemas.microsoft.com/office/drawing/2014/chart" uri="{C3380CC4-5D6E-409C-BE32-E72D297353CC}">
              <c16:uniqueId val="{00000003-DCDE-4715-A2E6-0D2ACCE9FC48}"/>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Flows'!$B$16</c:f>
          <c:strCache>
            <c:ptCount val="1"/>
            <c:pt idx="0">
              <c:v>AG INCOME &amp; EXPENSES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Flows'!$Q$3</c:f>
              <c:strCache>
                <c:ptCount val="1"/>
                <c:pt idx="0">
                  <c:v>Ag Income</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Flows'!$E$30:$F$30</c:f>
              <c:numCache>
                <c:formatCode>"$"#,##0_);\("$"#,##0\)</c:formatCode>
                <c:ptCount val="2"/>
                <c:pt idx="0">
                  <c:v>0</c:v>
                </c:pt>
                <c:pt idx="1">
                  <c:v>0</c:v>
                </c:pt>
              </c:numCache>
            </c:numRef>
          </c:val>
          <c:extLst>
            <c:ext xmlns:c16="http://schemas.microsoft.com/office/drawing/2014/chart" uri="{C3380CC4-5D6E-409C-BE32-E72D297353CC}">
              <c16:uniqueId val="{00000000-7C37-470E-9A49-C6174386BE67}"/>
            </c:ext>
          </c:extLst>
        </c:ser>
        <c:ser>
          <c:idx val="1"/>
          <c:order val="1"/>
          <c:tx>
            <c:strRef>
              <c:f>'Final Income and Cash Flows'!$R$3</c:f>
              <c:strCache>
                <c:ptCount val="1"/>
                <c:pt idx="0">
                  <c:v>Variable Ag Expenses</c:v>
                </c:pt>
              </c:strCache>
            </c:strRef>
          </c:tx>
          <c:spPr>
            <a:solidFill>
              <a:schemeClr val="accent2"/>
            </a:solidFill>
            <a:ln>
              <a:noFill/>
            </a:ln>
            <a:effectLst/>
          </c:spPr>
          <c:invertIfNegative val="0"/>
          <c:dLbls>
            <c:dLbl>
              <c:idx val="0"/>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0-3B9E-45B5-B670-46D1AE2D9C52}"/>
                </c:ext>
              </c:extLst>
            </c:dLbl>
            <c:dLbl>
              <c:idx val="1"/>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3B9E-45B5-B670-46D1AE2D9C52}"/>
                </c:ext>
              </c:extLst>
            </c:dLbl>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Flows'!$E$60:$F$60</c:f>
              <c:numCache>
                <c:formatCode>"$"#,##0_);\("$"#,##0\)</c:formatCode>
                <c:ptCount val="2"/>
                <c:pt idx="0" formatCode="General">
                  <c:v>0</c:v>
                </c:pt>
                <c:pt idx="1">
                  <c:v>0</c:v>
                </c:pt>
              </c:numCache>
            </c:numRef>
          </c:val>
          <c:extLst>
            <c:ext xmlns:c16="http://schemas.microsoft.com/office/drawing/2014/chart" uri="{C3380CC4-5D6E-409C-BE32-E72D297353CC}">
              <c16:uniqueId val="{00000001-7C37-470E-9A49-C6174386BE67}"/>
            </c:ext>
          </c:extLst>
        </c:ser>
        <c:ser>
          <c:idx val="2"/>
          <c:order val="2"/>
          <c:tx>
            <c:strRef>
              <c:f>'Final Income and Cash Flows'!$S$3</c:f>
              <c:strCache>
                <c:ptCount val="1"/>
                <c:pt idx="0">
                  <c:v>Fixed Ag Expenses</c:v>
                </c:pt>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Flows'!$E$72:$F$72</c:f>
              <c:numCache>
                <c:formatCode>General</c:formatCode>
                <c:ptCount val="2"/>
                <c:pt idx="0">
                  <c:v>0</c:v>
                </c:pt>
                <c:pt idx="1">
                  <c:v>0</c:v>
                </c:pt>
              </c:numCache>
            </c:numRef>
          </c:val>
          <c:extLst>
            <c:ext xmlns:c16="http://schemas.microsoft.com/office/drawing/2014/chart" uri="{C3380CC4-5D6E-409C-BE32-E72D297353CC}">
              <c16:uniqueId val="{00000002-7C37-470E-9A49-C6174386BE67}"/>
            </c:ext>
          </c:extLst>
        </c:ser>
        <c:dLbls>
          <c:dLblPos val="outEnd"/>
          <c:showLegendKey val="0"/>
          <c:showVal val="1"/>
          <c:showCatName val="0"/>
          <c:showSerName val="0"/>
          <c:showPercent val="0"/>
          <c:showBubbleSize val="0"/>
        </c:dLbls>
        <c:gapWidth val="219"/>
        <c:overlap val="-27"/>
        <c:axId val="543406888"/>
        <c:axId val="543407280"/>
      </c:barChart>
      <c:catAx>
        <c:axId val="543406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407280"/>
        <c:crosses val="autoZero"/>
        <c:auto val="1"/>
        <c:lblAlgn val="ctr"/>
        <c:lblOffset val="100"/>
        <c:noMultiLvlLbl val="0"/>
      </c:catAx>
      <c:valAx>
        <c:axId val="5434072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4068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Inputs!$E$54</c:f>
          <c:strCache>
            <c:ptCount val="1"/>
            <c:pt idx="0">
              <c:v>Top 10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w="9525">
              <a:solidFill>
                <a:schemeClr val="bg1"/>
              </a:solidFill>
            </a:ln>
          </c:spPr>
          <c:dPt>
            <c:idx val="0"/>
            <c:bubble3D val="0"/>
            <c:spPr>
              <a:solidFill>
                <a:schemeClr val="accent1"/>
              </a:solidFill>
              <a:ln w="9525">
                <a:solidFill>
                  <a:schemeClr val="bg1"/>
                </a:solidFill>
              </a:ln>
              <a:effectLst/>
            </c:spPr>
            <c:extLst>
              <c:ext xmlns:c16="http://schemas.microsoft.com/office/drawing/2014/chart" uri="{C3380CC4-5D6E-409C-BE32-E72D297353CC}">
                <c16:uniqueId val="{00000001-AC69-4077-98A8-8BE1C0EC7CEC}"/>
              </c:ext>
            </c:extLst>
          </c:dPt>
          <c:dPt>
            <c:idx val="1"/>
            <c:bubble3D val="0"/>
            <c:spPr>
              <a:solidFill>
                <a:schemeClr val="accent2"/>
              </a:solidFill>
              <a:ln w="9525">
                <a:solidFill>
                  <a:schemeClr val="bg1"/>
                </a:solidFill>
              </a:ln>
              <a:effectLst/>
            </c:spPr>
            <c:extLst>
              <c:ext xmlns:c16="http://schemas.microsoft.com/office/drawing/2014/chart" uri="{C3380CC4-5D6E-409C-BE32-E72D297353CC}">
                <c16:uniqueId val="{00000003-AC69-4077-98A8-8BE1C0EC7CEC}"/>
              </c:ext>
            </c:extLst>
          </c:dPt>
          <c:dPt>
            <c:idx val="2"/>
            <c:bubble3D val="0"/>
            <c:spPr>
              <a:solidFill>
                <a:schemeClr val="accent3"/>
              </a:solidFill>
              <a:ln w="9525">
                <a:solidFill>
                  <a:schemeClr val="bg1"/>
                </a:solidFill>
              </a:ln>
              <a:effectLst/>
            </c:spPr>
            <c:extLst>
              <c:ext xmlns:c16="http://schemas.microsoft.com/office/drawing/2014/chart" uri="{C3380CC4-5D6E-409C-BE32-E72D297353CC}">
                <c16:uniqueId val="{00000005-AC69-4077-98A8-8BE1C0EC7CEC}"/>
              </c:ext>
            </c:extLst>
          </c:dPt>
          <c:dPt>
            <c:idx val="3"/>
            <c:bubble3D val="0"/>
            <c:spPr>
              <a:solidFill>
                <a:schemeClr val="accent4"/>
              </a:solidFill>
              <a:ln w="9525">
                <a:solidFill>
                  <a:schemeClr val="bg1"/>
                </a:solidFill>
              </a:ln>
              <a:effectLst/>
            </c:spPr>
            <c:extLst>
              <c:ext xmlns:c16="http://schemas.microsoft.com/office/drawing/2014/chart" uri="{C3380CC4-5D6E-409C-BE32-E72D297353CC}">
                <c16:uniqueId val="{00000007-AC69-4077-98A8-8BE1C0EC7CEC}"/>
              </c:ext>
            </c:extLst>
          </c:dPt>
          <c:dPt>
            <c:idx val="4"/>
            <c:bubble3D val="0"/>
            <c:spPr>
              <a:solidFill>
                <a:schemeClr val="accent5"/>
              </a:solidFill>
              <a:ln w="9525">
                <a:solidFill>
                  <a:schemeClr val="bg1"/>
                </a:solidFill>
              </a:ln>
              <a:effectLst/>
            </c:spPr>
            <c:extLst>
              <c:ext xmlns:c16="http://schemas.microsoft.com/office/drawing/2014/chart" uri="{C3380CC4-5D6E-409C-BE32-E72D297353CC}">
                <c16:uniqueId val="{00000009-AC69-4077-98A8-8BE1C0EC7CEC}"/>
              </c:ext>
            </c:extLst>
          </c:dPt>
          <c:dPt>
            <c:idx val="5"/>
            <c:bubble3D val="0"/>
            <c:spPr>
              <a:solidFill>
                <a:schemeClr val="accent6"/>
              </a:solidFill>
              <a:ln w="9525">
                <a:solidFill>
                  <a:schemeClr val="bg1"/>
                </a:solidFill>
              </a:ln>
              <a:effectLst/>
            </c:spPr>
            <c:extLst>
              <c:ext xmlns:c16="http://schemas.microsoft.com/office/drawing/2014/chart" uri="{C3380CC4-5D6E-409C-BE32-E72D297353CC}">
                <c16:uniqueId val="{0000000B-AC69-4077-98A8-8BE1C0EC7CEC}"/>
              </c:ext>
            </c:extLst>
          </c:dPt>
          <c:dPt>
            <c:idx val="6"/>
            <c:bubble3D val="0"/>
            <c:spPr>
              <a:solidFill>
                <a:schemeClr val="accent1">
                  <a:lumMod val="60000"/>
                </a:schemeClr>
              </a:solidFill>
              <a:ln w="9525">
                <a:solidFill>
                  <a:schemeClr val="bg1"/>
                </a:solidFill>
              </a:ln>
              <a:effectLst/>
            </c:spPr>
            <c:extLst>
              <c:ext xmlns:c16="http://schemas.microsoft.com/office/drawing/2014/chart" uri="{C3380CC4-5D6E-409C-BE32-E72D297353CC}">
                <c16:uniqueId val="{0000000D-AC69-4077-98A8-8BE1C0EC7CEC}"/>
              </c:ext>
            </c:extLst>
          </c:dPt>
          <c:dPt>
            <c:idx val="7"/>
            <c:bubble3D val="0"/>
            <c:spPr>
              <a:solidFill>
                <a:schemeClr val="accent2">
                  <a:lumMod val="60000"/>
                </a:schemeClr>
              </a:solidFill>
              <a:ln w="9525">
                <a:solidFill>
                  <a:schemeClr val="bg1"/>
                </a:solidFill>
              </a:ln>
              <a:effectLst/>
            </c:spPr>
            <c:extLst>
              <c:ext xmlns:c16="http://schemas.microsoft.com/office/drawing/2014/chart" uri="{C3380CC4-5D6E-409C-BE32-E72D297353CC}">
                <c16:uniqueId val="{0000000F-AC69-4077-98A8-8BE1C0EC7CEC}"/>
              </c:ext>
            </c:extLst>
          </c:dPt>
          <c:dPt>
            <c:idx val="8"/>
            <c:bubble3D val="0"/>
            <c:spPr>
              <a:solidFill>
                <a:schemeClr val="accent3">
                  <a:lumMod val="60000"/>
                </a:schemeClr>
              </a:solidFill>
              <a:ln w="9525">
                <a:solidFill>
                  <a:schemeClr val="bg1"/>
                </a:solidFill>
              </a:ln>
              <a:effectLst/>
            </c:spPr>
            <c:extLst>
              <c:ext xmlns:c16="http://schemas.microsoft.com/office/drawing/2014/chart" uri="{C3380CC4-5D6E-409C-BE32-E72D297353CC}">
                <c16:uniqueId val="{00000011-AC69-4077-98A8-8BE1C0EC7CEC}"/>
              </c:ext>
            </c:extLst>
          </c:dPt>
          <c:dPt>
            <c:idx val="9"/>
            <c:bubble3D val="0"/>
            <c:spPr>
              <a:solidFill>
                <a:schemeClr val="accent4">
                  <a:lumMod val="60000"/>
                </a:schemeClr>
              </a:solidFill>
              <a:ln w="9525">
                <a:solidFill>
                  <a:schemeClr val="bg1"/>
                </a:solidFill>
              </a:ln>
              <a:effectLst/>
            </c:spPr>
            <c:extLst>
              <c:ext xmlns:c16="http://schemas.microsoft.com/office/drawing/2014/chart" uri="{C3380CC4-5D6E-409C-BE32-E72D297353CC}">
                <c16:uniqueId val="{00000013-AC69-4077-98A8-8BE1C0EC7CEC}"/>
              </c:ext>
            </c:extLst>
          </c:dPt>
          <c:dPt>
            <c:idx val="10"/>
            <c:bubble3D val="0"/>
            <c:spPr>
              <a:solidFill>
                <a:schemeClr val="accent5">
                  <a:lumMod val="60000"/>
                </a:schemeClr>
              </a:solidFill>
              <a:ln w="9525">
                <a:solidFill>
                  <a:schemeClr val="bg1"/>
                </a:solidFill>
              </a:ln>
              <a:effectLst/>
            </c:spPr>
            <c:extLst>
              <c:ext xmlns:c16="http://schemas.microsoft.com/office/drawing/2014/chart" uri="{C3380CC4-5D6E-409C-BE32-E72D297353CC}">
                <c16:uniqueId val="{00000015-AC69-4077-98A8-8BE1C0EC7CEC}"/>
              </c:ext>
            </c:extLst>
          </c:dPt>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Inputs!$S$84:$S$94</c:f>
              <c:strCache>
                <c:ptCount val="11"/>
                <c:pt idx="0">
                  <c:v>Land Rent</c:v>
                </c:pt>
                <c:pt idx="1">
                  <c:v>#N/A</c:v>
                </c:pt>
                <c:pt idx="2">
                  <c:v>#N/A</c:v>
                </c:pt>
                <c:pt idx="3">
                  <c:v>#N/A</c:v>
                </c:pt>
                <c:pt idx="4">
                  <c:v>#N/A</c:v>
                </c:pt>
                <c:pt idx="5">
                  <c:v>#N/A</c:v>
                </c:pt>
                <c:pt idx="6">
                  <c:v>#N/A</c:v>
                </c:pt>
                <c:pt idx="7">
                  <c:v>#N/A</c:v>
                </c:pt>
                <c:pt idx="8">
                  <c:v>#N/A</c:v>
                </c:pt>
                <c:pt idx="9">
                  <c:v>#N/A</c:v>
                </c:pt>
                <c:pt idx="10">
                  <c:v>Remainder</c:v>
                </c:pt>
              </c:strCache>
            </c:strRef>
          </c:cat>
          <c:val>
            <c:numRef>
              <c:f>Inputs!$T$84:$T$94</c:f>
              <c:numCache>
                <c:formatCode>_("$"* #,##0_);_("$"* \(#,##0\);_("$"* "-"??_);_(@_)</c:formatCode>
                <c:ptCount val="11"/>
                <c:pt idx="0">
                  <c:v>0</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16-AC69-4077-98A8-8BE1C0EC7CE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Inputs!$M$60</c:f>
          <c:strCache>
            <c:ptCount val="1"/>
            <c:pt idx="0">
              <c:v>2016 - Current Ratio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rgbClr val="FF0000"/>
              </a:solidFill>
              <a:ln w="19050">
                <a:noFill/>
              </a:ln>
              <a:effectLst/>
            </c:spPr>
            <c:extLst>
              <c:ext xmlns:c16="http://schemas.microsoft.com/office/drawing/2014/chart" uri="{C3380CC4-5D6E-409C-BE32-E72D297353CC}">
                <c16:uniqueId val="{00000001-7A1E-4EC9-AD43-ED4BC3763796}"/>
              </c:ext>
            </c:extLst>
          </c:dPt>
          <c:dPt>
            <c:idx val="1"/>
            <c:bubble3D val="0"/>
            <c:spPr>
              <a:solidFill>
                <a:srgbClr val="FFFF00"/>
              </a:solidFill>
              <a:ln w="19050">
                <a:noFill/>
              </a:ln>
              <a:effectLst/>
            </c:spPr>
            <c:extLst>
              <c:ext xmlns:c16="http://schemas.microsoft.com/office/drawing/2014/chart" uri="{C3380CC4-5D6E-409C-BE32-E72D297353CC}">
                <c16:uniqueId val="{00000003-7A1E-4EC9-AD43-ED4BC3763796}"/>
              </c:ext>
            </c:extLst>
          </c:dPt>
          <c:dPt>
            <c:idx val="2"/>
            <c:bubble3D val="0"/>
            <c:spPr>
              <a:solidFill>
                <a:srgbClr val="00B050"/>
              </a:solidFill>
              <a:ln w="19050">
                <a:noFill/>
              </a:ln>
              <a:effectLst/>
            </c:spPr>
            <c:extLst>
              <c:ext xmlns:c16="http://schemas.microsoft.com/office/drawing/2014/chart" uri="{C3380CC4-5D6E-409C-BE32-E72D297353CC}">
                <c16:uniqueId val="{00000005-7A1E-4EC9-AD43-ED4BC3763796}"/>
              </c:ext>
            </c:extLst>
          </c:dPt>
          <c:dPt>
            <c:idx val="3"/>
            <c:bubble3D val="0"/>
            <c:spPr>
              <a:noFill/>
              <a:ln w="19050">
                <a:noFill/>
              </a:ln>
              <a:effectLst/>
            </c:spPr>
            <c:extLst>
              <c:ext xmlns:c16="http://schemas.microsoft.com/office/drawing/2014/chart" uri="{C3380CC4-5D6E-409C-BE32-E72D297353CC}">
                <c16:uniqueId val="{00000007-7A1E-4EC9-AD43-ED4BC3763796}"/>
              </c:ext>
            </c:extLst>
          </c:dPt>
          <c:val>
            <c:numRef>
              <c:f>Inputs!$Q$60:$T$60</c:f>
              <c:numCache>
                <c:formatCode>General</c:formatCode>
                <c:ptCount val="4"/>
                <c:pt idx="0">
                  <c:v>0.45</c:v>
                </c:pt>
                <c:pt idx="1">
                  <c:v>0.45</c:v>
                </c:pt>
                <c:pt idx="2">
                  <c:v>0.45</c:v>
                </c:pt>
                <c:pt idx="3">
                  <c:v>1.35</c:v>
                </c:pt>
              </c:numCache>
            </c:numRef>
          </c:val>
          <c:extLst>
            <c:ext xmlns:c16="http://schemas.microsoft.com/office/drawing/2014/chart" uri="{C3380CC4-5D6E-409C-BE32-E72D297353CC}">
              <c16:uniqueId val="{00000008-7A1E-4EC9-AD43-ED4BC3763796}"/>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Inputs!$L$64</c:f>
              <c:strCache>
                <c:ptCount val="1"/>
              </c:strCache>
            </c:strRef>
          </c:tx>
          <c:spPr>
            <a:ln>
              <a:noFill/>
            </a:ln>
          </c:spPr>
          <c:dPt>
            <c:idx val="0"/>
            <c:bubble3D val="0"/>
            <c:spPr>
              <a:noFill/>
              <a:ln w="19050">
                <a:noFill/>
              </a:ln>
              <a:effectLst/>
            </c:spPr>
            <c:extLst>
              <c:ext xmlns:c16="http://schemas.microsoft.com/office/drawing/2014/chart" uri="{C3380CC4-5D6E-409C-BE32-E72D297353CC}">
                <c16:uniqueId val="{0000000A-7A1E-4EC9-AD43-ED4BC3763796}"/>
              </c:ext>
            </c:extLst>
          </c:dPt>
          <c:dPt>
            <c:idx val="1"/>
            <c:bubble3D val="0"/>
            <c:spPr>
              <a:solidFill>
                <a:schemeClr val="tx1"/>
              </a:solidFill>
              <a:ln w="19050">
                <a:noFill/>
              </a:ln>
              <a:effectLst/>
            </c:spPr>
            <c:extLst>
              <c:ext xmlns:c16="http://schemas.microsoft.com/office/drawing/2014/chart" uri="{C3380CC4-5D6E-409C-BE32-E72D297353CC}">
                <c16:uniqueId val="{0000000C-7A1E-4EC9-AD43-ED4BC3763796}"/>
              </c:ext>
            </c:extLst>
          </c:dPt>
          <c:dPt>
            <c:idx val="2"/>
            <c:bubble3D val="0"/>
            <c:spPr>
              <a:noFill/>
              <a:ln w="19050">
                <a:noFill/>
              </a:ln>
              <a:effectLst/>
            </c:spPr>
            <c:extLst>
              <c:ext xmlns:c16="http://schemas.microsoft.com/office/drawing/2014/chart" uri="{C3380CC4-5D6E-409C-BE32-E72D297353CC}">
                <c16:uniqueId val="{0000000E-7A1E-4EC9-AD43-ED4BC3763796}"/>
              </c:ext>
            </c:extLst>
          </c:dPt>
          <c:dPt>
            <c:idx val="3"/>
            <c:bubble3D val="0"/>
            <c:spPr>
              <a:noFill/>
              <a:ln w="19050">
                <a:noFill/>
              </a:ln>
              <a:effectLst/>
            </c:spPr>
            <c:extLst>
              <c:ext xmlns:c16="http://schemas.microsoft.com/office/drawing/2014/chart" uri="{C3380CC4-5D6E-409C-BE32-E72D297353CC}">
                <c16:uniqueId val="{0000000E-BEA8-4D5A-A521-D5EE92D6C74B}"/>
              </c:ext>
            </c:extLst>
          </c:dPt>
          <c:dLbls>
            <c:dLbl>
              <c:idx val="1"/>
              <c:tx>
                <c:rich>
                  <a:bodyPr/>
                  <a:lstStyle/>
                  <a:p>
                    <a:fld id="{9AF1CFE2-68BC-4B42-BEE8-B1B345A48825}"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{9AF1CFE2-68BC-4B42-BEE8-B1B345A48825}</c15:txfldGUID>
                      <c15:f>Inputs!$L$60</c15:f>
                      <c15:dlblFieldTableCache>
                        <c:ptCount val="1"/>
                        <c:pt idx="0">
                          <c:v>0:1</c:v>
                        </c:pt>
                      </c15:dlblFieldTableCache>
                    </c15:dlblFTEntry>
                  </c15:dlblFieldTable>
                  <c15:showDataLabelsRange val="0"/>
                </c:ext>
                <c:ext xmlns:c16="http://schemas.microsoft.com/office/drawing/2014/chart" uri="{C3380CC4-5D6E-409C-BE32-E72D297353CC}">
                  <c16:uniqueId val="{0000000C-7A1E-4EC9-AD43-ED4BC3763796}"/>
                </c:ext>
              </c:extLst>
            </c:dLbl>
            <c:spPr>
              <a:noFill/>
              <a:ln>
                <a:no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extLst>
              <c:ext xmlns:c15="http://schemas.microsoft.com/office/drawing/2012/chart" uri="{CE6537A1-D6FC-4f65-9D91-7224C49458BB}"/>
            </c:extLst>
          </c:dLbls>
          <c:val>
            <c:numRef>
              <c:f>(Inputs!$K$60,Inputs!$U$60:$V$60,Inputs!$X$60)</c:f>
              <c:numCache>
                <c:formatCode>General</c:formatCode>
                <c:ptCount val="4"/>
                <c:pt idx="0" formatCode="_(* #,##0.000_);_(* \(#,##0.000\);_(* &quot;-&quot;??_);_(@_)">
                  <c:v>0</c:v>
                </c:pt>
                <c:pt idx="1">
                  <c:v>0</c:v>
                </c:pt>
                <c:pt idx="2" formatCode="_(* #,##0.00_);_(* \(#,##0.00\);_(* &quot;-&quot;??_);_(@_)">
                  <c:v>2.7</c:v>
                </c:pt>
                <c:pt idx="3">
                  <c:v>2.7</c:v>
                </c:pt>
              </c:numCache>
            </c:numRef>
          </c:val>
          <c:extLst>
            <c:ext xmlns:c16="http://schemas.microsoft.com/office/drawing/2014/chart" uri="{C3380CC4-5D6E-409C-BE32-E72D297353CC}">
              <c16:uniqueId val="{0000000F-7A1E-4EC9-AD43-ED4BC376379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 Net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Flows'!$P$2</c:f>
              <c:strCache>
                <c:ptCount val="1"/>
                <c:pt idx="0">
                  <c:v>Ag Net Income</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Flows'!$E$76:$F$76</c:f>
              <c:numCache>
                <c:formatCode>General</c:formatCode>
                <c:ptCount val="2"/>
                <c:pt idx="0">
                  <c:v>0</c:v>
                </c:pt>
                <c:pt idx="1">
                  <c:v>0</c:v>
                </c:pt>
              </c:numCache>
            </c:numRef>
          </c:val>
          <c:extLst>
            <c:ext xmlns:c16="http://schemas.microsoft.com/office/drawing/2014/chart" uri="{C3380CC4-5D6E-409C-BE32-E72D297353CC}">
              <c16:uniqueId val="{00000000-C24C-4C0D-9A82-020F0F7B9D19}"/>
            </c:ext>
          </c:extLst>
        </c:ser>
        <c:ser>
          <c:idx val="1"/>
          <c:order val="1"/>
          <c:tx>
            <c:strRef>
              <c:f>'Final Income and Cash Flows'!$S$2</c:f>
              <c:strCache>
                <c:ptCount val="1"/>
                <c:pt idx="0">
                  <c:v>Direct Marketing Net Income</c:v>
                </c:pt>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Flows'!$E$144:$F$144</c:f>
              <c:numCache>
                <c:formatCode>General</c:formatCode>
                <c:ptCount val="2"/>
                <c:pt idx="0">
                  <c:v>0</c:v>
                </c:pt>
                <c:pt idx="1">
                  <c:v>0</c:v>
                </c:pt>
              </c:numCache>
            </c:numRef>
          </c:val>
          <c:extLst>
            <c:ext xmlns:c16="http://schemas.microsoft.com/office/drawing/2014/chart" uri="{C3380CC4-5D6E-409C-BE32-E72D297353CC}">
              <c16:uniqueId val="{00000001-C24C-4C0D-9A82-020F0F7B9D19}"/>
            </c:ext>
          </c:extLst>
        </c:ser>
        <c:dLbls>
          <c:dLblPos val="outEnd"/>
          <c:showLegendKey val="0"/>
          <c:showVal val="1"/>
          <c:showCatName val="0"/>
          <c:showSerName val="0"/>
          <c:showPercent val="0"/>
          <c:showBubbleSize val="0"/>
        </c:dLbls>
        <c:gapWidth val="219"/>
        <c:overlap val="-27"/>
        <c:axId val="542854256"/>
        <c:axId val="542853864"/>
      </c:barChart>
      <c:catAx>
        <c:axId val="54285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3864"/>
        <c:crosses val="autoZero"/>
        <c:auto val="1"/>
        <c:lblAlgn val="ctr"/>
        <c:lblOffset val="100"/>
        <c:noMultiLvlLbl val="0"/>
      </c:catAx>
      <c:valAx>
        <c:axId val="5428538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Inputs!$E$53</c:f>
          <c:strCache>
            <c:ptCount val="1"/>
            <c:pt idx="0">
              <c:v>TOTAL INCOME &amp;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Inputs!$G$55</c:f>
              <c:strCache>
                <c:ptCount val="1"/>
                <c:pt idx="0">
                  <c:v>Value</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0F21-4F38-B251-D0258D5D5E42}"/>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F21-4F38-B251-D0258D5D5E42}"/>
              </c:ext>
            </c:extLst>
          </c:dPt>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Inputs!$F$56:$F$60</c:f>
              <c:strCache>
                <c:ptCount val="5"/>
                <c:pt idx="0">
                  <c:v>Total Income</c:v>
                </c:pt>
                <c:pt idx="1">
                  <c:v>Total Variable Expenses</c:v>
                </c:pt>
                <c:pt idx="2">
                  <c:v>Total Fixed Expenses</c:v>
                </c:pt>
                <c:pt idx="3">
                  <c:v>Total Business Net Income</c:v>
                </c:pt>
                <c:pt idx="4">
                  <c:v>Total Business Net Income</c:v>
                </c:pt>
              </c:strCache>
            </c:strRef>
          </c:cat>
          <c:val>
            <c:numRef>
              <c:f>Inputs!$G$56:$G$60</c:f>
              <c:numCache>
                <c:formatCode>General</c:formatCode>
                <c:ptCount val="5"/>
                <c:pt idx="0">
                  <c:v>0</c:v>
                </c:pt>
                <c:pt idx="1">
                  <c:v>0</c:v>
                </c:pt>
                <c:pt idx="2">
                  <c:v>0</c:v>
                </c:pt>
                <c:pt idx="3" formatCode="_(&quot;$&quot;* #,##0_);_(&quot;$&quot;* \(#,##0\);_(&quot;$&quot;* &quot;-&quot;??_);_(@_)">
                  <c:v>0</c:v>
                </c:pt>
                <c:pt idx="4" formatCode="_(&quot;$&quot;* #,##0_);_(&quot;$&quot;* \(#,##0\);_(&quot;$&quot;* &quot;-&quot;??_);_(@_)">
                  <c:v>0</c:v>
                </c:pt>
              </c:numCache>
            </c:numRef>
          </c:val>
          <c:extLst>
            <c:ext xmlns:c16="http://schemas.microsoft.com/office/drawing/2014/chart" uri="{C3380CC4-5D6E-409C-BE32-E72D297353CC}">
              <c16:uniqueId val="{00000004-0F21-4F38-B251-D0258D5D5E42}"/>
            </c:ext>
          </c:extLst>
        </c:ser>
        <c:dLbls>
          <c:showLegendKey val="0"/>
          <c:showVal val="0"/>
          <c:showCatName val="0"/>
          <c:showSerName val="0"/>
          <c:showPercent val="0"/>
          <c:showBubbleSize val="0"/>
        </c:dLbls>
        <c:gapWidth val="219"/>
        <c:overlap val="-27"/>
        <c:axId val="359542384"/>
        <c:axId val="359544680"/>
      </c:barChart>
      <c:catAx>
        <c:axId val="35954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544680"/>
        <c:crosses val="autoZero"/>
        <c:auto val="1"/>
        <c:lblAlgn val="ctr"/>
        <c:lblOffset val="100"/>
        <c:noMultiLvlLbl val="0"/>
      </c:catAx>
      <c:valAx>
        <c:axId val="359544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9542384"/>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Flows'!$B$106:$D$106</c:f>
          <c:strCache>
            <c:ptCount val="3"/>
            <c:pt idx="0">
              <c:v>DIRECT MARKETING INCOME &amp; EXPENSES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Income and Cash Flows'!$Q$5</c:f>
              <c:strCache>
                <c:ptCount val="1"/>
                <c:pt idx="0">
                  <c:v>Direct Mkt Income</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Flows'!$E$116:$F$116</c:f>
              <c:numCache>
                <c:formatCode>"$"#,##0_);\("$"#,##0\)</c:formatCode>
                <c:ptCount val="2"/>
                <c:pt idx="0" formatCode="General">
                  <c:v>0</c:v>
                </c:pt>
                <c:pt idx="1">
                  <c:v>0</c:v>
                </c:pt>
              </c:numCache>
            </c:numRef>
          </c:val>
          <c:extLst>
            <c:ext xmlns:c16="http://schemas.microsoft.com/office/drawing/2014/chart" uri="{C3380CC4-5D6E-409C-BE32-E72D297353CC}">
              <c16:uniqueId val="{00000000-B177-4643-A873-7110005F92AE}"/>
            </c:ext>
          </c:extLst>
        </c:ser>
        <c:ser>
          <c:idx val="1"/>
          <c:order val="1"/>
          <c:tx>
            <c:strRef>
              <c:f>'Final Income and Cash Flows'!$R$5</c:f>
              <c:strCache>
                <c:ptCount val="1"/>
                <c:pt idx="0">
                  <c:v>Variable Direct Mkt Expenses</c:v>
                </c:pt>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Flows'!$E$129:$F$129</c:f>
              <c:numCache>
                <c:formatCode>"$"#,##0_);\("$"#,##0\)</c:formatCode>
                <c:ptCount val="2"/>
                <c:pt idx="0" formatCode="General">
                  <c:v>0</c:v>
                </c:pt>
                <c:pt idx="1">
                  <c:v>0</c:v>
                </c:pt>
              </c:numCache>
            </c:numRef>
          </c:val>
          <c:extLst>
            <c:ext xmlns:c16="http://schemas.microsoft.com/office/drawing/2014/chart" uri="{C3380CC4-5D6E-409C-BE32-E72D297353CC}">
              <c16:uniqueId val="{00000001-B177-4643-A873-7110005F92AE}"/>
            </c:ext>
          </c:extLst>
        </c:ser>
        <c:ser>
          <c:idx val="2"/>
          <c:order val="2"/>
          <c:tx>
            <c:strRef>
              <c:f>'Final Income and Cash Flows'!$S$5</c:f>
              <c:strCache>
                <c:ptCount val="1"/>
                <c:pt idx="0">
                  <c:v>Fixed Direct Mkt Expenses</c:v>
                </c:pt>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 Income and Cash Flows'!$Q$1:$R$1</c:f>
              <c:strCache>
                <c:ptCount val="2"/>
                <c:pt idx="0">
                  <c:v>2016</c:v>
                </c:pt>
                <c:pt idx="1">
                  <c:v>2017 Proj.</c:v>
                </c:pt>
              </c:strCache>
            </c:strRef>
          </c:cat>
          <c:val>
            <c:numRef>
              <c:f>'Final Income and Cash Flows'!$E$140:$F$140</c:f>
              <c:numCache>
                <c:formatCode>"$"#,##0_);\("$"#,##0\)</c:formatCode>
                <c:ptCount val="2"/>
                <c:pt idx="0" formatCode="General">
                  <c:v>0</c:v>
                </c:pt>
                <c:pt idx="1">
                  <c:v>0</c:v>
                </c:pt>
              </c:numCache>
            </c:numRef>
          </c:val>
          <c:extLst>
            <c:ext xmlns:c16="http://schemas.microsoft.com/office/drawing/2014/chart" uri="{C3380CC4-5D6E-409C-BE32-E72D297353CC}">
              <c16:uniqueId val="{00000002-B177-4643-A873-7110005F92AE}"/>
            </c:ext>
          </c:extLst>
        </c:ser>
        <c:dLbls>
          <c:dLblPos val="outEnd"/>
          <c:showLegendKey val="0"/>
          <c:showVal val="1"/>
          <c:showCatName val="0"/>
          <c:showSerName val="0"/>
          <c:showPercent val="0"/>
          <c:showBubbleSize val="0"/>
        </c:dLbls>
        <c:gapWidth val="219"/>
        <c:overlap val="-27"/>
        <c:axId val="542854648"/>
        <c:axId val="542855040"/>
      </c:barChart>
      <c:catAx>
        <c:axId val="542854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5040"/>
        <c:crosses val="autoZero"/>
        <c:auto val="1"/>
        <c:lblAlgn val="ctr"/>
        <c:lblOffset val="100"/>
        <c:noMultiLvlLbl val="0"/>
      </c:catAx>
      <c:valAx>
        <c:axId val="5428550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854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Flows'!$M$101</c:f>
          <c:strCache>
            <c:ptCount val="1"/>
            <c:pt idx="0">
              <c:v>Variable Direct Marketing Expenses - 2016</c:v>
            </c:pt>
          </c:strCache>
        </c:strRef>
      </c:tx>
      <c:layout>
        <c:manualLayout>
          <c:xMode val="edge"/>
          <c:yMode val="edge"/>
          <c:x val="2.335307454337417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1D1-4C2E-BEF0-4FB08255DD7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1D1-4C2E-BEF0-4FB08255DD7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1D1-4C2E-BEF0-4FB08255DD7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1D1-4C2E-BEF0-4FB08255DD7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1D1-4C2E-BEF0-4FB08255DD7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1D1-4C2E-BEF0-4FB08255DD7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A1D1-4C2E-BEF0-4FB08255DD7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A1D1-4C2E-BEF0-4FB08255DD75}"/>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A1D1-4C2E-BEF0-4FB08255DD75}"/>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A1D1-4C2E-BEF0-4FB08255DD75}"/>
              </c:ext>
            </c:extLst>
          </c:dPt>
          <c:dLbls>
            <c:dLbl>
              <c:idx val="0"/>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10AB5266-D1F6-4B0A-B29F-E2DA02DE9232}" type="CELLRANGE">
                      <a:rPr lang="en-US"/>
                      <a:pPr>
                        <a:defRPr spc="0">
                          <a:solidFill>
                            <a:schemeClr val="tx1"/>
                          </a:solidFill>
                        </a:defRPr>
                      </a:pPr>
                      <a:t>[CELLRANGE]</a:t>
                    </a:fld>
                    <a:r>
                      <a:rPr lang="en-US" baseline="0"/>
                      <a:t>, </a:t>
                    </a:r>
                    <a:fld id="{7EF76BD9-9B79-46CF-B73A-2AD02B5E84D4}"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1-A1D1-4C2E-BEF0-4FB08255DD75}"/>
                </c:ext>
              </c:extLst>
            </c:dLbl>
            <c:dLbl>
              <c:idx val="1"/>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6E839D5D-2513-4346-8A6F-35E12903F5CC}" type="CELLRANGE">
                      <a:rPr lang="en-US"/>
                      <a:pPr>
                        <a:defRPr spc="0">
                          <a:solidFill>
                            <a:schemeClr val="tx1"/>
                          </a:solidFill>
                        </a:defRPr>
                      </a:pPr>
                      <a:t>[CELLRANGE]</a:t>
                    </a:fld>
                    <a:r>
                      <a:rPr lang="en-US" baseline="0"/>
                      <a:t>, </a:t>
                    </a:r>
                    <a:fld id="{6EE6EEF2-21FF-46EB-89C2-CC453C236BFE}"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3-A1D1-4C2E-BEF0-4FB08255DD75}"/>
                </c:ext>
              </c:extLst>
            </c:dLbl>
            <c:dLbl>
              <c:idx val="2"/>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67C4567-701D-4E1D-8C44-41D59F810114}" type="CELLRANGE">
                      <a:rPr lang="en-US"/>
                      <a:pPr>
                        <a:defRPr spc="0">
                          <a:solidFill>
                            <a:schemeClr val="tx1"/>
                          </a:solidFill>
                        </a:defRPr>
                      </a:pPr>
                      <a:t>[CELLRANGE]</a:t>
                    </a:fld>
                    <a:r>
                      <a:rPr lang="en-US" baseline="0"/>
                      <a:t>, </a:t>
                    </a:r>
                    <a:fld id="{D6F87C0A-C1AD-4FCB-B1F6-2BCBA2A45812}"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5-A1D1-4C2E-BEF0-4FB08255DD75}"/>
                </c:ext>
              </c:extLst>
            </c:dLbl>
            <c:dLbl>
              <c:idx val="3"/>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29FE3646-1009-49B3-9B13-3C61D5B429C8}" type="CELLRANGE">
                      <a:rPr lang="en-US"/>
                      <a:pPr>
                        <a:defRPr spc="0">
                          <a:solidFill>
                            <a:schemeClr val="tx1"/>
                          </a:solidFill>
                        </a:defRPr>
                      </a:pPr>
                      <a:t>[CELLRANGE]</a:t>
                    </a:fld>
                    <a:r>
                      <a:rPr lang="en-US" baseline="0"/>
                      <a:t>, </a:t>
                    </a:r>
                    <a:fld id="{5B7DBA51-FC77-486F-A455-4DB042DA3A50}"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7-A1D1-4C2E-BEF0-4FB08255DD75}"/>
                </c:ext>
              </c:extLst>
            </c:dLbl>
            <c:dLbl>
              <c:idx val="4"/>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1AD77C3D-2E73-4B05-8058-E376F9D8C60B}" type="CELLRANGE">
                      <a:rPr lang="en-US"/>
                      <a:pPr>
                        <a:defRPr spc="0">
                          <a:solidFill>
                            <a:schemeClr val="tx1"/>
                          </a:solidFill>
                        </a:defRPr>
                      </a:pPr>
                      <a:t>[CELLRANGE]</a:t>
                    </a:fld>
                    <a:r>
                      <a:rPr lang="en-US" baseline="0"/>
                      <a:t>, </a:t>
                    </a:r>
                    <a:fld id="{9303D693-8AA2-4D7D-9875-251BCF75F821}"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9-A1D1-4C2E-BEF0-4FB08255DD75}"/>
                </c:ext>
              </c:extLst>
            </c:dLbl>
            <c:dLbl>
              <c:idx val="5"/>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925F3FAD-90E3-45D5-9E97-C9BA7396BC29}" type="CELLRANGE">
                      <a:rPr lang="en-US"/>
                      <a:pPr>
                        <a:defRPr spc="0">
                          <a:solidFill>
                            <a:schemeClr val="tx1"/>
                          </a:solidFill>
                        </a:defRPr>
                      </a:pPr>
                      <a:t>[CELLRANGE]</a:t>
                    </a:fld>
                    <a:r>
                      <a:rPr lang="en-US" baseline="0"/>
                      <a:t>, </a:t>
                    </a:r>
                    <a:fld id="{5A990CC3-00EC-4BCC-A4CB-12B706806BE7}"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B-A1D1-4C2E-BEF0-4FB08255DD75}"/>
                </c:ext>
              </c:extLst>
            </c:dLbl>
            <c:dLbl>
              <c:idx val="6"/>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BEFDE328-0AD4-4408-98DD-1CC9BDE2F349}" type="CELLRANGE">
                      <a:rPr lang="en-US"/>
                      <a:pPr>
                        <a:defRPr spc="0">
                          <a:solidFill>
                            <a:schemeClr val="tx1"/>
                          </a:solidFill>
                        </a:defRPr>
                      </a:pPr>
                      <a:t>[CELLRANGE]</a:t>
                    </a:fld>
                    <a:r>
                      <a:rPr lang="en-US" baseline="0"/>
                      <a:t>, </a:t>
                    </a:r>
                    <a:fld id="{610D4EFE-A160-472D-9908-E76EA24C10AB}"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D-A1D1-4C2E-BEF0-4FB08255DD75}"/>
                </c:ext>
              </c:extLst>
            </c:dLbl>
            <c:dLbl>
              <c:idx val="7"/>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08C08C47-B1C9-4CA9-85ED-044FE583DBE6}" type="CELLRANGE">
                      <a:rPr lang="en-US"/>
                      <a:pPr>
                        <a:defRPr spc="0">
                          <a:solidFill>
                            <a:schemeClr val="tx1"/>
                          </a:solidFill>
                        </a:defRPr>
                      </a:pPr>
                      <a:t>[CELLRANGE]</a:t>
                    </a:fld>
                    <a:r>
                      <a:rPr lang="en-US" baseline="0"/>
                      <a:t>, </a:t>
                    </a:r>
                    <a:fld id="{DA2DFA79-6941-430F-9B79-5FEC24C23E71}"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F-A1D1-4C2E-BEF0-4FB08255DD75}"/>
                </c:ext>
              </c:extLst>
            </c:dLbl>
            <c:dLbl>
              <c:idx val="8"/>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BE87FD9B-AC9E-478E-A952-BF9C83082EB5}" type="CELLRANGE">
                      <a:rPr lang="en-US"/>
                      <a:pPr>
                        <a:defRPr spc="0">
                          <a:solidFill>
                            <a:schemeClr val="tx1"/>
                          </a:solidFill>
                        </a:defRPr>
                      </a:pPr>
                      <a:t>[CELLRANGE]</a:t>
                    </a:fld>
                    <a:r>
                      <a:rPr lang="en-US" baseline="0"/>
                      <a:t>, </a:t>
                    </a:r>
                    <a:fld id="{C50A6580-9912-442F-80BF-F4D31E46A4F3}"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11-A1D1-4C2E-BEF0-4FB08255DD75}"/>
                </c:ext>
              </c:extLst>
            </c:dLbl>
            <c:dLbl>
              <c:idx val="9"/>
              <c:tx>
                <c:rich>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16C17C90-1223-4F18-BCE5-6DE8E0074BDB}" type="CELLRANGE">
                      <a:rPr lang="en-US"/>
                      <a:pPr>
                        <a:defRPr spc="0">
                          <a:solidFill>
                            <a:schemeClr val="tx1"/>
                          </a:solidFill>
                        </a:defRPr>
                      </a:pPr>
                      <a:t>[CELLRANGE]</a:t>
                    </a:fld>
                    <a:r>
                      <a:rPr lang="en-US" baseline="0"/>
                      <a:t>, </a:t>
                    </a:r>
                    <a:fld id="{FE201E57-63E6-4ABF-BC87-3FD8835DCADE}" type="PERCENTAGE">
                      <a:rPr lang="en-US" baseline="0"/>
                      <a:pPr>
                        <a:defRPr spc="0">
                          <a:solidFill>
                            <a:schemeClr val="tx1"/>
                          </a:solidFill>
                        </a:defRPr>
                      </a:pPr>
                      <a:t>[PERCENTAGE]</a:t>
                    </a:fld>
                    <a:endParaRPr lang="en-US" baseline="0"/>
                  </a:p>
                </c:rich>
              </c:tx>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13-A1D1-4C2E-BEF0-4FB08255DD75}"/>
                </c:ext>
              </c:extLst>
            </c:dLbl>
            <c:spPr>
              <a:noFill/>
              <a:ln>
                <a:noFill/>
              </a:ln>
              <a:effectLst/>
            </c:spPr>
            <c:txPr>
              <a:bodyPr rot="0" spcFirstLastPara="1" vertOverflow="overflow" horzOverflow="overflow" vert="horz" wrap="non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15:showDataLabelsRange val="1"/>
              </c:ext>
            </c:extLst>
          </c:dLbls>
          <c:val>
            <c:numRef>
              <c:f>'Final Income and Cash Flows'!$E$119:$E$128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CategoryTitle>
                <c15:cat>
                  <c:strRef>
                    <c:extLst>
                      <c:ext uri="{02D57815-91ED-43cb-92C2-25804820EDAC}">
                        <c15:formulaRef>
                          <c15:sqref>'Final Income and Cash Flows'!$M$119:$M$128</c15:sqref>
                        </c15:formulaRef>
                      </c:ext>
                    </c:extLst>
                    <c:strCache>
                      <c:ptCount val="10"/>
                      <c:pt idx="0">
                        <c:v>Labor</c:v>
                      </c:pt>
                      <c:pt idx="1">
                        <c:v>Insurance</c:v>
                      </c:pt>
                      <c:pt idx="2">
                        <c:v>Packaging</c:v>
                      </c:pt>
                      <c:pt idx="3">
                        <c:v>Processing Supplies</c:v>
                      </c:pt>
                      <c:pt idx="4">
                        <c:v>Market Supplies</c:v>
                      </c:pt>
                      <c:pt idx="5">
                        <c:v>Shipping</c:v>
                      </c:pt>
                      <c:pt idx="6">
                        <c:v>Utilities</c:v>
                      </c:pt>
                      <c:pt idx="7">
                        <c:v>Cold Storage Fees</c:v>
                      </c:pt>
                      <c:pt idx="8">
                        <c:v>Purchased for Resale</c:v>
                      </c:pt>
                      <c:pt idx="9">
                        <c:v>Other Direct Mkt Variable Expenses</c:v>
                      </c:pt>
                    </c:strCache>
                  </c:strRef>
                </c15:cat>
              </c15:filteredCategoryTitle>
            </c:ext>
            <c:ext xmlns:c15="http://schemas.microsoft.com/office/drawing/2012/chart" uri="{02D57815-91ED-43cb-92C2-25804820EDAC}">
              <c15:datalabelsRange>
                <c15:f>'Final Income and Cash Flows'!$M$119:$M$128</c15:f>
                <c15:dlblRangeCache>
                  <c:ptCount val="10"/>
                  <c:pt idx="0">
                    <c:v>Labor</c:v>
                  </c:pt>
                  <c:pt idx="1">
                    <c:v>Insurance</c:v>
                  </c:pt>
                  <c:pt idx="2">
                    <c:v>Packaging</c:v>
                  </c:pt>
                  <c:pt idx="3">
                    <c:v>Processing Supplies</c:v>
                  </c:pt>
                  <c:pt idx="4">
                    <c:v>Market Supplies</c:v>
                  </c:pt>
                  <c:pt idx="5">
                    <c:v>Shipping</c:v>
                  </c:pt>
                  <c:pt idx="6">
                    <c:v>Utilities</c:v>
                  </c:pt>
                  <c:pt idx="7">
                    <c:v>Cold Storage Fees</c:v>
                  </c:pt>
                  <c:pt idx="8">
                    <c:v>Purchased for Resale</c:v>
                  </c:pt>
                  <c:pt idx="9">
                    <c:v>Other Direct Mkt Variable Expenses</c:v>
                  </c:pt>
                </c15:dlblRangeCache>
              </c15:datalabelsRange>
            </c:ext>
            <c:ext xmlns:c16="http://schemas.microsoft.com/office/drawing/2014/chart" uri="{C3380CC4-5D6E-409C-BE32-E72D297353CC}">
              <c16:uniqueId val="{00000014-A1D1-4C2E-BEF0-4FB08255DD75}"/>
            </c:ext>
          </c:extLst>
        </c:ser>
        <c:dLbls>
          <c:dLblPos val="bestFit"/>
          <c:showLegendKey val="0"/>
          <c:showVal val="1"/>
          <c:showCatName val="0"/>
          <c:showSerName val="0"/>
          <c:showPercent val="0"/>
          <c:showBubbleSize val="0"/>
          <c:showLeaderLines val="1"/>
        </c:dLbls>
        <c:firstSliceAng val="117"/>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rot="60000"/>
    <a:lstStyle/>
    <a:p>
      <a:pPr>
        <a:defRPr/>
      </a:pPr>
      <a:endParaRPr lang="en-US"/>
    </a:p>
  </c:txPr>
  <c:printSettings>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'Final Income and Cash Flows'!$P$34</c:f>
          <c:strCache>
            <c:ptCount val="1"/>
            <c:pt idx="0">
              <c:v>Variable Ag Expenses 2016</c:v>
            </c:pt>
          </c:strCache>
        </c:strRef>
      </c:tx>
      <c:layout>
        <c:manualLayout>
          <c:xMode val="edge"/>
          <c:yMode val="edge"/>
          <c:x val="1.7108602454334414E-2"/>
          <c:y val="2.615062761506276E-2"/>
        </c:manualLayout>
      </c:layout>
      <c:overlay val="0"/>
      <c:spPr>
        <a:noFill/>
        <a:ln>
          <a:noFill/>
        </a:ln>
        <a:effectLst/>
      </c:spPr>
      <c:txPr>
        <a:bodyPr rot="0" spcFirstLastPara="1" vertOverflow="ellipsis" vert="horz" wrap="square" anchor="ctr" anchorCtr="1"/>
        <a:lstStyle/>
        <a:p>
          <a:pPr algn="l">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'Final Income and Cash Flows'!$M$66</c:f>
              <c:strCache>
                <c:ptCount val="1"/>
                <c:pt idx="0">
                  <c:v>Variable Ag Expenses - 2016</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51D-47EC-AF30-D097BBF20A3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51D-47EC-AF30-D097BBF20A3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51D-47EC-AF30-D097BBF20A3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51D-47EC-AF30-D097BBF20A3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51D-47EC-AF30-D097BBF20A3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251D-47EC-AF30-D097BBF20A3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51D-47EC-AF30-D097BBF20A3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251D-47EC-AF30-D097BBF20A37}"/>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51D-47EC-AF30-D097BBF20A37}"/>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251D-47EC-AF30-D097BBF20A37}"/>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251D-47EC-AF30-D097BBF20A37}"/>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251D-47EC-AF30-D097BBF20A37}"/>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251D-47EC-AF30-D097BBF20A37}"/>
              </c:ext>
            </c:extLst>
          </c:dPt>
          <c:dPt>
            <c:idx val="13"/>
            <c:bubble3D val="0"/>
            <c:spPr>
              <a:solidFill>
                <a:schemeClr val="accent2">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251D-47EC-AF30-D097BBF20A37}"/>
              </c:ext>
            </c:extLst>
          </c:dPt>
          <c:dPt>
            <c:idx val="14"/>
            <c:bubble3D val="0"/>
            <c:spPr>
              <a:solidFill>
                <a:schemeClr val="accent3">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251D-47EC-AF30-D097BBF20A37}"/>
              </c:ext>
            </c:extLst>
          </c:dPt>
          <c:dPt>
            <c:idx val="15"/>
            <c:bubble3D val="0"/>
            <c:spPr>
              <a:solidFill>
                <a:schemeClr val="accent4">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251D-47EC-AF30-D097BBF20A37}"/>
              </c:ext>
            </c:extLst>
          </c:dPt>
          <c:dPt>
            <c:idx val="16"/>
            <c:bubble3D val="0"/>
            <c:spPr>
              <a:solidFill>
                <a:schemeClr val="accent5">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251D-47EC-AF30-D097BBF20A37}"/>
              </c:ext>
            </c:extLst>
          </c:dPt>
          <c:dPt>
            <c:idx val="17"/>
            <c:bubble3D val="0"/>
            <c:spPr>
              <a:solidFill>
                <a:schemeClr val="accent6">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2-251D-47EC-AF30-D097BBF20A37}"/>
              </c:ext>
            </c:extLst>
          </c:dPt>
          <c:dPt>
            <c:idx val="18"/>
            <c:bubble3D val="0"/>
            <c:spPr>
              <a:solidFill>
                <a:schemeClr val="accent1">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251D-47EC-AF30-D097BBF20A37}"/>
              </c:ext>
            </c:extLst>
          </c:dPt>
          <c:dPt>
            <c:idx val="19"/>
            <c:bubble3D val="0"/>
            <c:spPr>
              <a:solidFill>
                <a:schemeClr val="accent2">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4-251D-47EC-AF30-D097BBF20A37}"/>
              </c:ext>
            </c:extLst>
          </c:dPt>
          <c:dPt>
            <c:idx val="20"/>
            <c:bubble3D val="0"/>
            <c:spPr>
              <a:solidFill>
                <a:schemeClr val="accent3">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251D-47EC-AF30-D097BBF20A37}"/>
              </c:ext>
            </c:extLst>
          </c:dPt>
          <c:dPt>
            <c:idx val="21"/>
            <c:bubble3D val="0"/>
            <c:spPr>
              <a:solidFill>
                <a:schemeClr val="accent4">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6-251D-47EC-AF30-D097BBF20A37}"/>
              </c:ext>
            </c:extLst>
          </c:dPt>
          <c:dPt>
            <c:idx val="22"/>
            <c:bubble3D val="0"/>
            <c:spPr>
              <a:solidFill>
                <a:schemeClr val="accent5">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251D-47EC-AF30-D097BBF20A37}"/>
              </c:ext>
            </c:extLst>
          </c:dPt>
          <c:dPt>
            <c:idx val="23"/>
            <c:bubble3D val="0"/>
            <c:spPr>
              <a:solidFill>
                <a:schemeClr val="accent6">
                  <a:lumMod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251D-47EC-AF30-D097BBF20A37}"/>
              </c:ext>
            </c:extLst>
          </c:dPt>
          <c:dPt>
            <c:idx val="24"/>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251D-47EC-AF30-D097BBF20A37}"/>
              </c:ext>
            </c:extLst>
          </c:dPt>
          <c:dPt>
            <c:idx val="25"/>
            <c:bubble3D val="0"/>
            <c:spPr>
              <a:solidFill>
                <a:schemeClr val="accent2">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251D-47EC-AF30-D097BBF20A37}"/>
              </c:ext>
            </c:extLst>
          </c:dPt>
          <c:dPt>
            <c:idx val="26"/>
            <c:bubble3D val="0"/>
            <c:spPr>
              <a:solidFill>
                <a:schemeClr val="accent3">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251D-47EC-AF30-D097BBF20A37}"/>
              </c:ext>
            </c:extLst>
          </c:dPt>
          <c:dPt>
            <c:idx val="27"/>
            <c:bubble3D val="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251D-47EC-AF30-D097BBF20A37}"/>
              </c:ext>
            </c:extLst>
          </c:dPt>
          <c:dLbls>
            <c:dLbl>
              <c:idx val="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251D-47EC-AF30-D097BBF20A37}"/>
                </c:ext>
              </c:extLst>
            </c:dLbl>
            <c:dLbl>
              <c:idx val="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251D-47EC-AF30-D097BBF20A37}"/>
                </c:ext>
              </c:extLst>
            </c:dLbl>
            <c:dLbl>
              <c:idx val="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3-251D-47EC-AF30-D097BBF20A37}"/>
                </c:ext>
              </c:extLst>
            </c:dLbl>
            <c:dLbl>
              <c:idx val="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251D-47EC-AF30-D097BBF20A37}"/>
                </c:ext>
              </c:extLst>
            </c:dLbl>
            <c:dLbl>
              <c:idx val="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5-251D-47EC-AF30-D097BBF20A37}"/>
                </c:ext>
              </c:extLst>
            </c:dLbl>
            <c:dLbl>
              <c:idx val="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6-251D-47EC-AF30-D097BBF20A37}"/>
                </c:ext>
              </c:extLst>
            </c:dLbl>
            <c:dLbl>
              <c:idx val="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7-251D-47EC-AF30-D097BBF20A37}"/>
                </c:ext>
              </c:extLst>
            </c:dLbl>
            <c:dLbl>
              <c:idx val="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8-251D-47EC-AF30-D097BBF20A37}"/>
                </c:ext>
              </c:extLst>
            </c:dLbl>
            <c:dLbl>
              <c:idx val="8"/>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9-251D-47EC-AF30-D097BBF20A37}"/>
                </c:ext>
              </c:extLst>
            </c:dLbl>
            <c:dLbl>
              <c:idx val="9"/>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A-251D-47EC-AF30-D097BBF20A37}"/>
                </c:ext>
              </c:extLst>
            </c:dLbl>
            <c:dLbl>
              <c:idx val="1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B-251D-47EC-AF30-D097BBF20A37}"/>
                </c:ext>
              </c:extLst>
            </c:dLbl>
            <c:dLbl>
              <c:idx val="1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C-251D-47EC-AF30-D097BBF20A37}"/>
                </c:ext>
              </c:extLst>
            </c:dLbl>
            <c:dLbl>
              <c:idx val="1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D-251D-47EC-AF30-D097BBF20A37}"/>
                </c:ext>
              </c:extLst>
            </c:dLbl>
            <c:dLbl>
              <c:idx val="1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E-251D-47EC-AF30-D097BBF20A37}"/>
                </c:ext>
              </c:extLst>
            </c:dLbl>
            <c:dLbl>
              <c:idx val="1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F-251D-47EC-AF30-D097BBF20A37}"/>
                </c:ext>
              </c:extLst>
            </c:dLbl>
            <c:dLbl>
              <c:idx val="1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10-251D-47EC-AF30-D097BBF20A37}"/>
                </c:ext>
              </c:extLst>
            </c:dLbl>
            <c:dLbl>
              <c:idx val="1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1-251D-47EC-AF30-D097BBF20A37}"/>
                </c:ext>
              </c:extLst>
            </c:dLbl>
            <c:dLbl>
              <c:idx val="1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12-251D-47EC-AF30-D097BBF20A37}"/>
                </c:ext>
              </c:extLst>
            </c:dLbl>
            <c:dLbl>
              <c:idx val="18"/>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3-251D-47EC-AF30-D097BBF20A37}"/>
                </c:ext>
              </c:extLst>
            </c:dLbl>
            <c:dLbl>
              <c:idx val="19"/>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4-251D-47EC-AF30-D097BBF20A37}"/>
                </c:ext>
              </c:extLst>
            </c:dLbl>
            <c:dLbl>
              <c:idx val="20"/>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5-251D-47EC-AF30-D097BBF20A37}"/>
                </c:ext>
              </c:extLst>
            </c:dLbl>
            <c:dLbl>
              <c:idx val="21"/>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6-251D-47EC-AF30-D097BBF20A37}"/>
                </c:ext>
              </c:extLst>
            </c:dLbl>
            <c:dLbl>
              <c:idx val="22"/>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7-251D-47EC-AF30-D097BBF20A37}"/>
                </c:ext>
              </c:extLst>
            </c:dLbl>
            <c:dLbl>
              <c:idx val="23"/>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8-251D-47EC-AF30-D097BBF20A37}"/>
                </c:ext>
              </c:extLst>
            </c:dLbl>
            <c:dLbl>
              <c:idx val="24"/>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9-251D-47EC-AF30-D097BBF20A37}"/>
                </c:ext>
              </c:extLst>
            </c:dLbl>
            <c:dLbl>
              <c:idx val="25"/>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A-251D-47EC-AF30-D097BBF20A37}"/>
                </c:ext>
              </c:extLst>
            </c:dLbl>
            <c:dLbl>
              <c:idx val="26"/>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B-251D-47EC-AF30-D097BBF20A37}"/>
                </c:ext>
              </c:extLst>
            </c:dLbl>
            <c:dLbl>
              <c:idx val="27"/>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C-251D-47EC-AF30-D097BBF20A37}"/>
                </c:ext>
              </c:extLst>
            </c:dLbl>
            <c:spPr>
              <a:noFill/>
              <a:ln>
                <a:noFill/>
              </a:ln>
              <a:effectLst/>
            </c:spPr>
            <c:txPr>
              <a:bodyPr rot="0" spcFirstLastPara="1" vertOverflow="overflow" horzOverflow="overflow" vert="horz" wrap="none" lIns="38100" tIns="19050" rIns="38100" bIns="19050" anchor="ctr" anchorCtr="1">
                <a:spAutoFit/>
              </a:bodyPr>
              <a:lstStyle/>
              <a:p>
                <a:pPr>
                  <a:defRPr sz="900" b="1" i="0" u="none" strike="noStrike" kern="1200" spc="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Ref>
              <c:f>'Final Income and Cash Flows'!$M$33:$M$59</c:f>
              <c:numCache>
                <c:formatCode>General</c:formatCode>
                <c:ptCount val="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numCache>
            </c:numRef>
          </c:cat>
          <c:val>
            <c:numRef>
              <c:f>'Final Income and Cash Flows'!$L$33:$L$59</c:f>
              <c:numCache>
                <c:formatCode>General</c:formatCode>
                <c:ptCount val="2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numCache>
            </c:numRef>
          </c:val>
          <c:extLst>
            <c:ext xmlns:c16="http://schemas.microsoft.com/office/drawing/2014/chart" uri="{C3380CC4-5D6E-409C-BE32-E72D297353CC}">
              <c16:uniqueId val="{00000000-251D-47EC-AF30-D097BBF20A37}"/>
            </c:ext>
          </c:extLst>
        </c:ser>
        <c:dLbls>
          <c:dLblPos val="outEnd"/>
          <c:showLegendKey val="0"/>
          <c:showVal val="0"/>
          <c:showCatName val="1"/>
          <c:showSerName val="0"/>
          <c:showPercent val="0"/>
          <c:showBubbleSize val="0"/>
          <c:showLeaderLines val="1"/>
        </c:dLbls>
        <c:firstSliceAng val="159"/>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rot="60000"/>
    <a:lstStyle/>
    <a:p>
      <a:pPr>
        <a:defRPr/>
      </a:pPr>
      <a:endParaRPr lang="en-US"/>
    </a:p>
  </c:txPr>
  <c:printSettings>
    <c:headerFooter/>
    <c:pageMargins b="0.75" l="0.7" r="0.7" t="0.75" header="0.3" footer="0.3"/>
    <c:pageSetup orientation="landscape" horizontalDpi="1200" verticalDpi="12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'Financial Scorecard'!$R$12</c:f>
              <c:strCache>
                <c:ptCount val="1"/>
                <c:pt idx="0">
                  <c:v>Spectrum</c:v>
                </c:pt>
              </c:strCache>
            </c:strRef>
          </c:tx>
          <c:spPr>
            <a:gradFill flip="none" rotWithShape="1">
              <a:gsLst>
                <a:gs pos="32000">
                  <a:srgbClr val="00B050"/>
                </a:gs>
                <a:gs pos="66000">
                  <a:srgbClr val="FFFF00"/>
                </a:gs>
                <a:gs pos="33000">
                  <a:srgbClr val="FFFF00"/>
                </a:gs>
                <a:gs pos="67000">
                  <a:srgbClr val="FF0000"/>
                </a:gs>
              </a:gsLst>
              <a:lin ang="10800000" scaled="0"/>
              <a:tileRect/>
            </a:gradFill>
            <a:ln>
              <a:noFill/>
            </a:ln>
            <a:effectLst/>
          </c:spPr>
          <c:invertIfNegative val="0"/>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Scorecard'!$R$13:$R$15</c15:sqref>
                  </c15:fullRef>
                </c:ext>
              </c:extLst>
              <c:f>'Financial Scorecard'!$R$13</c:f>
              <c:numCache>
                <c:formatCode>General</c:formatCode>
                <c:ptCount val="1"/>
                <c:pt idx="0">
                  <c:v>2.7</c:v>
                </c:pt>
              </c:numCache>
            </c:numRef>
          </c:val>
          <c:extLst>
            <c:ext xmlns:c16="http://schemas.microsoft.com/office/drawing/2014/chart" uri="{C3380CC4-5D6E-409C-BE32-E72D297353CC}">
              <c16:uniqueId val="{00000000-9B6A-484A-8CB8-97C522771280}"/>
            </c:ext>
          </c:extLst>
        </c:ser>
        <c:dLbls>
          <c:showLegendKey val="0"/>
          <c:showVal val="0"/>
          <c:showCatName val="0"/>
          <c:showSerName val="0"/>
          <c:showPercent val="0"/>
          <c:showBubbleSize val="0"/>
        </c:dLbls>
        <c:gapWidth val="150"/>
        <c:overlap val="100"/>
        <c:axId val="521412464"/>
        <c:axId val="521414032"/>
      </c:barChart>
      <c:barChart>
        <c:barDir val="bar"/>
        <c:grouping val="stacked"/>
        <c:varyColors val="0"/>
        <c:ser>
          <c:idx val="2"/>
          <c:order val="1"/>
          <c:tx>
            <c:strRef>
              <c:f>'Financial Scorecard'!$S$12</c:f>
              <c:strCache>
                <c:ptCount val="1"/>
                <c:pt idx="0">
                  <c:v>Slider Fill</c:v>
                </c:pt>
              </c:strCache>
            </c:strRef>
          </c:tx>
          <c:spPr>
            <a:noFill/>
            <a:ln>
              <a:noFill/>
            </a:ln>
            <a:effectLst/>
          </c:spPr>
          <c:invertIfNegative val="0"/>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Scorecard'!$S$13:$S$15</c15:sqref>
                  </c15:fullRef>
                </c:ext>
              </c:extLst>
              <c:f>'Financial Scorecard'!$S$13</c:f>
              <c:numCache>
                <c:formatCode>General</c:formatCode>
                <c:ptCount val="1"/>
                <c:pt idx="0">
                  <c:v>0</c:v>
                </c:pt>
              </c:numCache>
            </c:numRef>
          </c:val>
          <c:extLst>
            <c:ext xmlns:c16="http://schemas.microsoft.com/office/drawing/2014/chart" uri="{C3380CC4-5D6E-409C-BE32-E72D297353CC}">
              <c16:uniqueId val="{00000001-9B6A-484A-8CB8-97C522771280}"/>
            </c:ext>
          </c:extLst>
        </c:ser>
        <c:ser>
          <c:idx val="0"/>
          <c:order val="2"/>
          <c:tx>
            <c:strRef>
              <c:f>'Financial Scorecard'!$T$12</c:f>
              <c:strCache>
                <c:ptCount val="1"/>
                <c:pt idx="0">
                  <c:v>Slider Size</c:v>
                </c:pt>
              </c:strCache>
            </c:strRef>
          </c:tx>
          <c:spPr>
            <a:solidFill>
              <a:schemeClr val="bg1">
                <a:lumMod val="85000"/>
              </a:schemeClr>
            </a:solidFill>
            <a:ln>
              <a:solidFill>
                <a:schemeClr val="tx1"/>
              </a:solidFill>
            </a:ln>
            <a:effectLst/>
          </c:spPr>
          <c:invertIfNegative val="0"/>
          <c:dLbls>
            <c:dLbl>
              <c:idx val="0"/>
              <c:layout>
                <c:manualLayout>
                  <c:x val="-1.0185067526415994E-16"/>
                  <c:y val="0.35331308223025321"/>
                </c:manualLayout>
              </c:layout>
              <c:tx>
                <c:strRef>
                  <c:f>'Financial Scorecard'!$G$13</c:f>
                  <c:strCache>
                    <c:ptCount val="1"/>
                    <c:pt idx="0">
                      <c:v>0:1</c:v>
                    </c:pt>
                  </c:strCache>
                </c:strRef>
              </c:tx>
              <c:spPr>
                <a:noFill/>
                <a:ln>
                  <a:noFill/>
                </a:ln>
                <a:effectLst/>
              </c:spPr>
              <c:txPr>
                <a:bodyPr rot="0" spcFirstLastPara="1" vertOverflow="ellipsis" vert="horz" wrap="square" lIns="38100" tIns="19050" rIns="38100" bIns="19050" anchor="ctr" anchorCtr="0">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dlblFTEntry>
                      <c15:txfldGUID>{7D5DC5F1-C1BB-4CC1-B264-4014930C6C7A}</c15:txfldGUID>
                      <c15:f>'Financial Scorecard'!$G$13</c15:f>
                      <c15:dlblFieldTableCache>
                        <c:ptCount val="1"/>
                        <c:pt idx="0">
                          <c:v>0:1</c:v>
                        </c:pt>
                      </c15:dlblFieldTableCache>
                    </c15:dlblFTEntry>
                  </c15:dlblFieldTable>
                  <c15:showDataLabelsRange val="0"/>
                </c:ext>
                <c:ext xmlns:c16="http://schemas.microsoft.com/office/drawing/2014/chart" uri="{C3380CC4-5D6E-409C-BE32-E72D297353CC}">
                  <c16:uniqueId val="{00000002-9B6A-484A-8CB8-97C522771280}"/>
                </c:ext>
              </c:extLst>
            </c:dLbl>
            <c:spPr>
              <a:noFill/>
              <a:ln>
                <a:noFill/>
              </a:ln>
              <a:effectLst/>
            </c:spPr>
            <c:txPr>
              <a:bodyPr rot="0" spcFirstLastPara="1" vertOverflow="ellipsis" vert="horz" wrap="square" lIns="38100" tIns="19050" rIns="38100" bIns="19050" anchor="ctr" anchorCtr="0">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'Financial Scorecard'!$P$13:$P$15</c15:sqref>
                  </c15:fullRef>
                </c:ext>
              </c:extLst>
              <c:f>'Financial Scorecard'!$P$13</c:f>
              <c:strCache>
                <c:ptCount val="1"/>
                <c:pt idx="0">
                  <c:v>Current Ratio</c:v>
                </c:pt>
              </c:strCache>
            </c:strRef>
          </c:cat>
          <c:val>
            <c:numRef>
              <c:extLst>
                <c:ext xmlns:c15="http://schemas.microsoft.com/office/drawing/2012/chart" uri="{02D57815-91ED-43cb-92C2-25804820EDAC}">
                  <c15:fullRef>
                    <c15:sqref>'Financial Scorecard'!$T$13:$T$15</c15:sqref>
                  </c15:fullRef>
                </c:ext>
              </c:extLst>
              <c:f>'Financial Scorecard'!$T$13</c:f>
              <c:numCache>
                <c:formatCode>General</c:formatCode>
                <c:ptCount val="1"/>
                <c:pt idx="0">
                  <c:v>0.08</c:v>
                </c:pt>
              </c:numCache>
            </c:numRef>
          </c:val>
          <c:extLst>
            <c:ext xmlns:c16="http://schemas.microsoft.com/office/drawing/2014/chart" uri="{C3380CC4-5D6E-409C-BE32-E72D297353CC}">
              <c16:uniqueId val="{00000003-9B6A-484A-8CB8-97C522771280}"/>
            </c:ext>
          </c:extLst>
        </c:ser>
        <c:dLbls>
          <c:showLegendKey val="0"/>
          <c:showVal val="0"/>
          <c:showCatName val="0"/>
          <c:showSerName val="0"/>
          <c:showPercent val="0"/>
          <c:showBubbleSize val="0"/>
        </c:dLbls>
        <c:gapWidth val="50"/>
        <c:overlap val="100"/>
        <c:axId val="418364328"/>
        <c:axId val="413212832"/>
      </c:barChart>
      <c:catAx>
        <c:axId val="521412464"/>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521414032"/>
        <c:crossesAt val="0"/>
        <c:auto val="1"/>
        <c:lblAlgn val="ctr"/>
        <c:lblOffset val="100"/>
        <c:noMultiLvlLbl val="0"/>
      </c:catAx>
      <c:valAx>
        <c:axId val="521414032"/>
        <c:scaling>
          <c:orientation val="minMax"/>
          <c:max val="2.7"/>
          <c:min val="0"/>
        </c:scaling>
        <c:delete val="1"/>
        <c:axPos val="t"/>
        <c:numFmt formatCode="General" sourceLinked="1"/>
        <c:majorTickMark val="out"/>
        <c:minorTickMark val="none"/>
        <c:tickLblPos val="nextTo"/>
        <c:crossAx val="521412464"/>
        <c:crosses val="autoZero"/>
        <c:crossBetween val="between"/>
      </c:valAx>
      <c:valAx>
        <c:axId val="413212832"/>
        <c:scaling>
          <c:orientation val="minMax"/>
          <c:max val="2.7"/>
          <c:min val="0"/>
        </c:scaling>
        <c:delete val="1"/>
        <c:axPos val="b"/>
        <c:numFmt formatCode="General" sourceLinked="1"/>
        <c:majorTickMark val="out"/>
        <c:minorTickMark val="none"/>
        <c:tickLblPos val="nextTo"/>
        <c:crossAx val="418364328"/>
        <c:crosses val="max"/>
        <c:crossBetween val="between"/>
      </c:valAx>
      <c:catAx>
        <c:axId val="418364328"/>
        <c:scaling>
          <c:orientation val="maxMin"/>
        </c:scaling>
        <c:delete val="1"/>
        <c:axPos val="l"/>
        <c:numFmt formatCode="General" sourceLinked="1"/>
        <c:majorTickMark val="out"/>
        <c:minorTickMark val="none"/>
        <c:tickLblPos val="nextTo"/>
        <c:crossAx val="413212832"/>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v>Spectrum</c:v>
          </c:tx>
          <c:spPr>
            <a:gradFill flip="none" rotWithShape="1">
              <a:gsLst>
                <a:gs pos="32000">
                  <a:srgbClr val="00B050"/>
                </a:gs>
                <a:gs pos="67000">
                  <a:srgbClr val="FFFF00"/>
                </a:gs>
                <a:gs pos="33000">
                  <a:srgbClr val="FFFF00"/>
                </a:gs>
                <a:gs pos="68000">
                  <a:srgbClr val="FF0000"/>
                </a:gs>
              </a:gsLst>
              <a:lin ang="10800000" scaled="0"/>
              <a:tileRect/>
            </a:grad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Scorecard'!$R$13:$R$15</c15:sqref>
                  </c15:fullRef>
                </c:ext>
              </c:extLst>
              <c:f>'Financial Scorecard'!$R$15</c:f>
              <c:numCache>
                <c:formatCode>General</c:formatCode>
                <c:ptCount val="1"/>
                <c:pt idx="0">
                  <c:v>9</c:v>
                </c:pt>
              </c:numCache>
            </c:numRef>
          </c:val>
          <c:extLst>
            <c:ext xmlns:c16="http://schemas.microsoft.com/office/drawing/2014/chart" uri="{C3380CC4-5D6E-409C-BE32-E72D297353CC}">
              <c16:uniqueId val="{00000000-7DE5-4E46-8D32-4C4E498F423C}"/>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Scorecard'!$S$13:$S$15</c15:sqref>
                  </c15:fullRef>
                </c:ext>
              </c:extLst>
              <c:f>'Financial Scorecard'!$S$15</c:f>
              <c:numCache>
                <c:formatCode>General</c:formatCode>
                <c:ptCount val="1"/>
                <c:pt idx="0">
                  <c:v>0</c:v>
                </c:pt>
              </c:numCache>
            </c:numRef>
          </c:val>
          <c:extLst>
            <c:ext xmlns:c16="http://schemas.microsoft.com/office/drawing/2014/chart" uri="{C3380CC4-5D6E-409C-BE32-E72D297353CC}">
              <c16:uniqueId val="{00000001-7DE5-4E46-8D32-4C4E498F423C}"/>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0"/>
                  <c:y val="0.36129598597645313"/>
                </c:manualLayout>
              </c:layout>
              <c:tx>
                <c:strRef>
                  <c:f>'Financial Scorecard'!$G$15</c:f>
                  <c:strCache>
                    <c:ptCount val="1"/>
                    <c:pt idx="0">
                      <c:v>0%</c:v>
                    </c:pt>
                  </c:strCache>
                </c:strRef>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dlblFTEntry>
                      <c15:txfldGUID>{091F2654-82D9-4821-8D56-4E8B807E6F7D}</c15:txfldGUID>
                      <c15:f>'Financial Scorecard'!$G$15</c15:f>
                      <c15:dlblFieldTableCache>
                        <c:ptCount val="1"/>
                        <c:pt idx="0">
                          <c:v>0%</c:v>
                        </c:pt>
                      </c15:dlblFieldTableCache>
                    </c15:dlblFTEntry>
                  </c15:dlblFieldTable>
                  <c15:showDataLabelsRange val="0"/>
                </c:ext>
                <c:ext xmlns:c16="http://schemas.microsoft.com/office/drawing/2014/chart" uri="{C3380CC4-5D6E-409C-BE32-E72D297353CC}">
                  <c16:uniqueId val="{00000002-7DE5-4E46-8D32-4C4E498F42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1">
                        <c:v>Working Capital</c:v>
                      </c:pt>
                    </c:strCache>
                  </c16:filteredLitCache>
                </c:ext>
              </c:extLst>
              <c:f/>
              <c:strCache>
                <c:ptCount val="1"/>
                <c:pt idx="0">
                  <c:v>WC/GR</c:v>
                </c:pt>
              </c:strCache>
            </c:strRef>
          </c:cat>
          <c:val>
            <c:numRef>
              <c:extLst>
                <c:ext xmlns:c15="http://schemas.microsoft.com/office/drawing/2012/chart" uri="{02D57815-91ED-43cb-92C2-25804820EDAC}">
                  <c15:fullRef>
                    <c15:sqref>'Financial Scorecard'!$T$13:$T$15</c15:sqref>
                  </c15:fullRef>
                </c:ext>
              </c:extLst>
              <c:f>'Financial Scorecard'!$T$15</c:f>
              <c:numCache>
                <c:formatCode>General</c:formatCode>
                <c:ptCount val="1"/>
                <c:pt idx="0">
                  <c:v>0.27</c:v>
                </c:pt>
              </c:numCache>
            </c:numRef>
          </c:val>
          <c:extLst>
            <c:ext xmlns:c16="http://schemas.microsoft.com/office/drawing/2014/chart" uri="{C3380CC4-5D6E-409C-BE32-E72D297353CC}">
              <c16:uniqueId val="{00000003-7DE5-4E46-8D32-4C4E498F423C}"/>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9"/>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33000">
                  <a:srgbClr val="00B050"/>
                </a:gs>
                <a:gs pos="67000">
                  <a:srgbClr val="FF0000"/>
                </a:gs>
                <a:gs pos="66000">
                  <a:srgbClr val="FFFF00"/>
                </a:gs>
                <a:gs pos="33000">
                  <a:srgbClr val="FFFF00"/>
                </a:gs>
              </a:gsLst>
              <a:lin ang="1080000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Scorecard'!$P$18</c:f>
              <c:strCache>
                <c:ptCount val="1"/>
                <c:pt idx="0">
                  <c:v>Debt-to-Asset</c:v>
                </c:pt>
              </c:strCache>
            </c:strRef>
          </c:cat>
          <c:val>
            <c:numRef>
              <c:extLst>
                <c:ext xmlns:c15="http://schemas.microsoft.com/office/drawing/2012/chart" uri="{02D57815-91ED-43cb-92C2-25804820EDAC}">
                  <c15:fullRef>
                    <c15:sqref>'Financial Scorecard'!$R$18:$R$20</c15:sqref>
                  </c15:fullRef>
                </c:ext>
              </c:extLst>
              <c:f>'Financial Scorecard'!$R$18</c:f>
              <c:numCache>
                <c:formatCode>General</c:formatCode>
                <c:ptCount val="1"/>
                <c:pt idx="0">
                  <c:v>10</c:v>
                </c:pt>
              </c:numCache>
            </c:numRef>
          </c:val>
          <c:extLst>
            <c:ext xmlns:c16="http://schemas.microsoft.com/office/drawing/2014/chart" uri="{C3380CC4-5D6E-409C-BE32-E72D297353CC}">
              <c16:uniqueId val="{00000000-2C80-40A0-B2E5-7ABA9A57C216}"/>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1">
                        <c:v>Working Capital</c:v>
                      </c:pt>
                      <c:pt idx="2">
                        <c:v>WC/GR</c:v>
                      </c:pt>
                    </c:strCache>
                  </c16:filteredLitCache>
                </c:ext>
              </c:extLst>
              <c:f/>
              <c:strCache>
                <c:ptCount val="1"/>
                <c:pt idx="0">
                  <c:v>Current Ratio</c:v>
                </c:pt>
              </c:strCache>
            </c:strRef>
          </c:cat>
          <c:val>
            <c:numRef>
              <c:extLst>
                <c:ext xmlns:c15="http://schemas.microsoft.com/office/drawing/2012/chart" uri="{02D57815-91ED-43cb-92C2-25804820EDAC}">
                  <c15:fullRef>
                    <c15:sqref>'Financial Scorecard'!$S$18:$S$20</c15:sqref>
                  </c15:fullRef>
                </c:ext>
              </c:extLst>
              <c:f>'Financial Scorecard'!$S$18</c:f>
              <c:numCache>
                <c:formatCode>General</c:formatCode>
                <c:ptCount val="1"/>
                <c:pt idx="0">
                  <c:v>8.7538888888888895</c:v>
                </c:pt>
              </c:numCache>
            </c:numRef>
          </c:val>
          <c:extLst>
            <c:ext xmlns:c16="http://schemas.microsoft.com/office/drawing/2014/chart" uri="{C3380CC4-5D6E-409C-BE32-E72D297353CC}">
              <c16:uniqueId val="{00000001-2C80-40A0-B2E5-7ABA9A57C216}"/>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xmlns:c16="http://schemas.microsoft.com/office/drawing/2014/chart" uri="{C3380CC4-5D6E-409C-BE32-E72D297353CC}">
                  <c16:uniqueId val="{00000004-2C80-40A0-B2E5-7ABA9A57C2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1">
                        <c:v>Working Capital</c:v>
                      </c:pt>
                      <c:pt idx="2">
                        <c:v>WC/GR</c:v>
                      </c:pt>
                    </c:strCache>
                  </c16:filteredLitCache>
                </c:ext>
              </c:extLst>
              <c:f/>
              <c:strCache>
                <c:ptCount val="1"/>
                <c:pt idx="0">
                  <c:v>Current Ratio</c:v>
                </c:pt>
              </c:strCache>
            </c:strRef>
          </c:cat>
          <c:val>
            <c:numRef>
              <c:extLst>
                <c:ext xmlns:c15="http://schemas.microsoft.com/office/drawing/2012/chart" uri="{02D57815-91ED-43cb-92C2-25804820EDAC}">
                  <c15:fullRef>
                    <c15:sqref>'Financial Scorecard'!$T$18:$T$20</c15:sqref>
                  </c15:fullRef>
                </c:ext>
              </c:extLst>
              <c:f>'Financial Scorecard'!$T$18</c:f>
              <c:numCache>
                <c:formatCode>General</c:formatCode>
                <c:ptCount val="1"/>
                <c:pt idx="0">
                  <c:v>0.27</c:v>
                </c:pt>
              </c:numCache>
            </c:numRef>
          </c:val>
          <c:extLst>
            <c:ext xmlns:c16="http://schemas.microsoft.com/office/drawing/2014/chart" uri="{C3380CC4-5D6E-409C-BE32-E72D297353CC}">
              <c16:uniqueId val="{00000003-2C80-40A0-B2E5-7ABA9A57C216}"/>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69694894232483E-2"/>
          <c:y val="0.26484767940728721"/>
          <c:w val="0.93146061021153503"/>
          <c:h val="0.47030464118542559"/>
        </c:manualLayout>
      </c:layout>
      <c:barChart>
        <c:barDir val="bar"/>
        <c:grouping val="stacked"/>
        <c:varyColors val="0"/>
        <c:ser>
          <c:idx val="1"/>
          <c:order val="0"/>
          <c:tx>
            <c:v>Spectrum</c:v>
          </c:tx>
          <c:spPr>
            <a:gradFill flip="none" rotWithShape="1">
              <a:gsLst>
                <a:gs pos="67000">
                  <a:srgbClr val="00B050"/>
                </a:gs>
                <a:gs pos="33000">
                  <a:srgbClr val="FF0000"/>
                </a:gs>
                <a:gs pos="66000">
                  <a:srgbClr val="FFFF00"/>
                </a:gs>
                <a:gs pos="34000">
                  <a:srgbClr val="FFFF00"/>
                </a:gs>
              </a:gsLst>
              <a:lin ang="0" scaled="0"/>
              <a:tileRect/>
            </a:gradFill>
            <a:ln>
              <a:noFill/>
            </a:ln>
            <a:effectLst/>
          </c:spPr>
          <c:invertIfNegative val="0"/>
          <c:cat>
            <c:strRef>
              <c:extLst>
                <c:ext xmlns:c15="http://schemas.microsoft.com/office/drawing/2012/chart" uri="{02D57815-91ED-43cb-92C2-25804820EDAC}">
                  <c15:fullRef>
                    <c15:sqref>'Financial Scorecard'!$P$18:$P$20</c15:sqref>
                  </c15:fullRef>
                </c:ext>
              </c:extLst>
              <c:f>'Financial Scorecard'!$P$19</c:f>
              <c:strCache>
                <c:ptCount val="1"/>
                <c:pt idx="0">
                  <c:v>Equity-to-Asset</c:v>
                </c:pt>
              </c:strCache>
            </c:strRef>
          </c:cat>
          <c:val>
            <c:numRef>
              <c:extLst>
                <c:ext xmlns:c15="http://schemas.microsoft.com/office/drawing/2012/chart" uri="{02D57815-91ED-43cb-92C2-25804820EDAC}">
                  <c15:fullRef>
                    <c15:sqref>'Financial Scorecard'!$R$18:$R$20</c15:sqref>
                  </c15:fullRef>
                </c:ext>
              </c:extLst>
              <c:f>'Financial Scorecard'!$R$19</c:f>
              <c:numCache>
                <c:formatCode>General</c:formatCode>
                <c:ptCount val="1"/>
                <c:pt idx="0">
                  <c:v>10</c:v>
                </c:pt>
              </c:numCache>
            </c:numRef>
          </c:val>
          <c:extLst>
            <c:ext xmlns:c16="http://schemas.microsoft.com/office/drawing/2014/chart" uri="{C3380CC4-5D6E-409C-BE32-E72D297353CC}">
              <c16:uniqueId val="{00000000-677C-47CB-94F5-04D78992B031}"/>
            </c:ext>
          </c:extLst>
        </c:ser>
        <c:dLbls>
          <c:showLegendKey val="0"/>
          <c:showVal val="0"/>
          <c:showCatName val="0"/>
          <c:showSerName val="0"/>
          <c:showPercent val="0"/>
          <c:showBubbleSize val="0"/>
        </c:dLbls>
        <c:gapWidth val="150"/>
        <c:overlap val="100"/>
        <c:axId val="521008736"/>
        <c:axId val="414620848"/>
      </c:barChart>
      <c:barChart>
        <c:barDir val="bar"/>
        <c:grouping val="stacked"/>
        <c:varyColors val="0"/>
        <c:ser>
          <c:idx val="2"/>
          <c:order val="1"/>
          <c:tx>
            <c:v>Slider Fill</c:v>
          </c:tx>
          <c:spPr>
            <a:noFill/>
            <a:ln>
              <a:noFill/>
            </a:ln>
            <a:effectLst/>
          </c:spPr>
          <c:invertIfNegative val="0"/>
          <c:cat>
            <c:strRef>
              <c:extLst>
                <c:ext xmlns:c16="http://schemas.microsoft.com/office/drawing/2014/chart" uri="{F5D05F6E-A05E-4728-AFD3-386EB277150F}">
                  <c16:filteredLitCache>
                    <c:strCache>
                      <c:ptCount val="2"/>
                      <c:pt idx="0">
                        <c:v>Current Ratio</c:v>
                      </c:pt>
                      <c:pt idx="2">
                        <c:v>WC/GR</c:v>
                      </c:pt>
                    </c:strCache>
                  </c16:filteredLitCache>
                </c:ext>
              </c:extLst>
              <c:f/>
              <c:strCache>
                <c:ptCount val="1"/>
                <c:pt idx="0">
                  <c:v>Working Capital</c:v>
                </c:pt>
              </c:strCache>
            </c:strRef>
          </c:cat>
          <c:val>
            <c:numRef>
              <c:extLst>
                <c:ext xmlns:c15="http://schemas.microsoft.com/office/drawing/2012/chart" uri="{02D57815-91ED-43cb-92C2-25804820EDAC}">
                  <c15:fullRef>
                    <c15:sqref>'Financial Scorecard'!$S$18:$S$20</c15:sqref>
                  </c15:fullRef>
                </c:ext>
              </c:extLst>
              <c:f>'Financial Scorecard'!$S$19</c:f>
              <c:numCache>
                <c:formatCode>General</c:formatCode>
                <c:ptCount val="1"/>
                <c:pt idx="0">
                  <c:v>8.9559090909090902</c:v>
                </c:pt>
              </c:numCache>
            </c:numRef>
          </c:val>
          <c:extLst>
            <c:ext xmlns:c16="http://schemas.microsoft.com/office/drawing/2014/chart" uri="{C3380CC4-5D6E-409C-BE32-E72D297353CC}">
              <c16:uniqueId val="{00000001-677C-47CB-94F5-04D78992B031}"/>
            </c:ext>
          </c:extLst>
        </c:ser>
        <c:ser>
          <c:idx val="0"/>
          <c:order val="2"/>
          <c:tx>
            <c:v>Slider Size</c:v>
          </c:tx>
          <c:spPr>
            <a:solidFill>
              <a:schemeClr val="bg1">
                <a:lumMod val="85000"/>
              </a:schemeClr>
            </a:solidFill>
            <a:ln>
              <a:solidFill>
                <a:schemeClr val="tx1"/>
              </a:solidFill>
            </a:ln>
            <a:effectLst/>
          </c:spPr>
          <c:invertIfNegative val="0"/>
          <c:dLbls>
            <c:dLbl>
              <c:idx val="0"/>
              <c:layout>
                <c:manualLayout>
                  <c:x val="6.2308536171331794E-3"/>
                  <c:y val="0.31300369876751988"/>
                </c:manualLayout>
              </c:layout>
              <c:tx>
                <c:strRef>
                  <c:f>'Financial Scorecard'!$G$19</c:f>
                  <c:strCache>
                    <c:ptCount val="1"/>
                    <c:pt idx="0">
                      <c:v>100%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{B6BFA287-2CDA-4B78-935C-EBABAB461072}</c15:txfldGUID>
                      <c15:f>'Financial Scorecard'!$G$19</c15:f>
                      <c15:dlblFieldTableCache>
                        <c:ptCount val="1"/>
                        <c:pt idx="0">
                          <c:v>100%</c:v>
                        </c:pt>
                      </c15:dlblFieldTableCache>
                    </c15:dlblFTEntry>
                  </c15:dlblFieldTable>
                  <c15:showDataLabelsRange val="0"/>
                </c:ext>
                <c:ext xmlns:c16="http://schemas.microsoft.com/office/drawing/2014/chart" uri="{C3380CC4-5D6E-409C-BE32-E72D297353CC}">
                  <c16:uniqueId val="{00000004-677C-47CB-94F5-04D78992B03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2"/>
                      <c:pt idx="0">
                        <c:v>Current Ratio</c:v>
                      </c:pt>
                      <c:pt idx="2">
                        <c:v>WC/GR</c:v>
                      </c:pt>
                    </c:strCache>
                  </c16:filteredLitCache>
                </c:ext>
              </c:extLst>
              <c:f/>
              <c:strCache>
                <c:ptCount val="1"/>
                <c:pt idx="0">
                  <c:v>Working Capital</c:v>
                </c:pt>
              </c:strCache>
            </c:strRef>
          </c:cat>
          <c:val>
            <c:numRef>
              <c:extLst>
                <c:ext xmlns:c15="http://schemas.microsoft.com/office/drawing/2012/chart" uri="{02D57815-91ED-43cb-92C2-25804820EDAC}">
                  <c15:fullRef>
                    <c15:sqref>'Financial Scorecard'!$T$18:$T$20</c15:sqref>
                  </c15:fullRef>
                </c:ext>
              </c:extLst>
              <c:f>'Financial Scorecard'!$T$19</c:f>
              <c:numCache>
                <c:formatCode>General</c:formatCode>
                <c:ptCount val="1"/>
                <c:pt idx="0">
                  <c:v>0.27</c:v>
                </c:pt>
              </c:numCache>
            </c:numRef>
          </c:val>
          <c:extLst>
            <c:ext xmlns:c16="http://schemas.microsoft.com/office/drawing/2014/chart" uri="{F5D05F6E-A05E-4728-AFD3-386EB277150F}">
              <c16:categoryFilterExceptions>
                <c16:categoryFilterException>
                  <c16:uniqueId val="{00000002-677C-47CB-94F5-04D78992B031}"/>
                  <c16:dLbl>
                    <c:idx val="-1"/>
                    <c:layout>
                      <c:manualLayout>
                        <c:x val="0"/>
                        <c:y val="0.28892663700322102"/>
                      </c:manualLayout>
                    </c:layout>
                    <c:tx>
                      <c:rich>
                        <a:bodyPr/>
                        <a:lstStyle/>
                        <a:p>
                          <a:fld id="{62DFF78F-A9B1-4529-BD60-56CC16F88A99}" type="CELLREF">
                            <a:rPr lang="en-US"/>
                            <a:pPr/>
                            <a:t>[CELLREF]</a:t>
                          </a:fld>
                          <a:endParaRPr lang="en-US"/>
                        </a:p>
                      </c:rich>
                    </c:tx>
                    <c:showLegendKey val="0"/>
                    <c:showVal val="1"/>
                    <c:showCatName val="0"/>
                    <c:showSerName val="0"/>
                    <c:showPercent val="0"/>
                    <c:showBubbleSize val="0"/>
                    <c:extLst>
                      <c:ext xmlns:c15="http://schemas.microsoft.com/office/drawing/2012/chart" uri="{CE6537A1-D6FC-4f65-9D91-7224C49458BB}">
                        <c15:dlblFieldTable>
                          <c15:dlblFTEntry>
                            <c15:txfldGUID>{62DFF78F-A9B1-4529-BD60-56CC16F88A99}</c15:txfldGUID>
                            <c15:f>'Financial Scorecard'!$G$18</c15:f>
                            <c15:dlblFieldTableCache>
                              <c:ptCount val="1"/>
                              <c:pt idx="0">
                                <c:v>0%</c:v>
                              </c:pt>
                            </c15:dlblFieldTableCache>
                          </c15:dlblFTEntry>
                        </c15:dlblFieldTable>
                        <c15:showDataLabelsRange val="0"/>
                      </c:ext>
                      <c:ext uri="{C3380CC4-5D6E-409C-BE32-E72D297353CC}">
                        <c16:uniqueId val="{00000002-677C-47CB-94F5-04D78992B031}"/>
                      </c:ext>
                    </c:extLst>
                  </c16:dLbl>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2-677C-47CB-94F5-04D78992B031}"/>
                </c16:ptentry>
              </c16:datapointuniqueidmap>
            </c:ext>
            <c:ext xmlns:c16="http://schemas.microsoft.com/office/drawing/2014/chart" uri="{C3380CC4-5D6E-409C-BE32-E72D297353CC}">
              <c16:uniqueId val="{00000003-677C-47CB-94F5-04D78992B031}"/>
            </c:ext>
          </c:extLst>
        </c:ser>
        <c:dLbls>
          <c:showLegendKey val="0"/>
          <c:showVal val="0"/>
          <c:showCatName val="0"/>
          <c:showSerName val="0"/>
          <c:showPercent val="0"/>
          <c:showBubbleSize val="0"/>
        </c:dLbls>
        <c:gapWidth val="50"/>
        <c:overlap val="100"/>
        <c:axId val="419031976"/>
        <c:axId val="522590560"/>
      </c:barChart>
      <c:catAx>
        <c:axId val="521008736"/>
        <c:scaling>
          <c:orientation val="maxMin"/>
        </c:scaling>
        <c:delete val="1"/>
        <c:axPos val="l"/>
        <c:majorGridlines>
          <c:spPr>
            <a:ln w="9525" cap="flat" cmpd="sng" algn="ctr">
              <a:noFill/>
              <a:round/>
            </a:ln>
            <a:effectLst/>
          </c:spPr>
        </c:majorGridlines>
        <c:numFmt formatCode="General" sourceLinked="1"/>
        <c:majorTickMark val="none"/>
        <c:minorTickMark val="none"/>
        <c:tickLblPos val="nextTo"/>
        <c:crossAx val="414620848"/>
        <c:crossesAt val="0"/>
        <c:auto val="1"/>
        <c:lblAlgn val="ctr"/>
        <c:lblOffset val="100"/>
        <c:noMultiLvlLbl val="0"/>
      </c:catAx>
      <c:valAx>
        <c:axId val="414620848"/>
        <c:scaling>
          <c:orientation val="minMax"/>
          <c:max val="10"/>
          <c:min val="0"/>
        </c:scaling>
        <c:delete val="1"/>
        <c:axPos val="t"/>
        <c:numFmt formatCode="General" sourceLinked="1"/>
        <c:majorTickMark val="out"/>
        <c:minorTickMark val="none"/>
        <c:tickLblPos val="nextTo"/>
        <c:crossAx val="521008736"/>
        <c:crosses val="autoZero"/>
        <c:crossBetween val="between"/>
      </c:valAx>
      <c:valAx>
        <c:axId val="522590560"/>
        <c:scaling>
          <c:orientation val="minMax"/>
          <c:max val="9"/>
          <c:min val="0"/>
        </c:scaling>
        <c:delete val="1"/>
        <c:axPos val="b"/>
        <c:numFmt formatCode="General" sourceLinked="1"/>
        <c:majorTickMark val="out"/>
        <c:minorTickMark val="none"/>
        <c:tickLblPos val="nextTo"/>
        <c:crossAx val="419031976"/>
        <c:crosses val="max"/>
        <c:crossBetween val="between"/>
      </c:valAx>
      <c:catAx>
        <c:axId val="419031976"/>
        <c:scaling>
          <c:orientation val="maxMin"/>
        </c:scaling>
        <c:delete val="1"/>
        <c:axPos val="l"/>
        <c:numFmt formatCode="General" sourceLinked="1"/>
        <c:majorTickMark val="out"/>
        <c:minorTickMark val="none"/>
        <c:tickLblPos val="nextTo"/>
        <c:crossAx val="522590560"/>
        <c:crossesAt val="0"/>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4" dropStyle="combo" dx="16" fmlaLink="$L$17" fmlaRange="Inputs!$C$18:$C$21" noThreeD="1" sel="3" val="0"/>
</file>

<file path=xl/ctrlProps/ctrlProp10.xml><?xml version="1.0" encoding="utf-8"?>
<formControlPr xmlns="http://schemas.microsoft.com/office/spreadsheetml/2009/9/main" objectType="Drop" dropLines="2" dropStyle="combo" dx="16" fmlaLink="'Financial Scorecard'!$M$2" fmlaRange="Inputs!$A$32:$A$33" noThreeD="1" sel="1" val="0"/>
</file>

<file path=xl/ctrlProps/ctrlProp11.xml><?xml version="1.0" encoding="utf-8"?>
<formControlPr xmlns="http://schemas.microsoft.com/office/spreadsheetml/2009/9/main" objectType="Drop" dropLines="14" dropStyle="combo" dx="16" fmlaLink="Inputs!$I$60" fmlaRange="Inputs!$J$43:$J$56" noThreeD="1" sel="1" val="0"/>
</file>

<file path=xl/ctrlProps/ctrlProp12.xml><?xml version="1.0" encoding="utf-8"?>
<formControlPr xmlns="http://schemas.microsoft.com/office/spreadsheetml/2009/9/main" objectType="Drop" dropLines="4" dropStyle="combo" dx="16" fmlaLink="'Gen Info'!$L$17" fmlaRange="Inputs!$C$18:$C$21" noThreeD="1" sel="3" val="0"/>
</file>

<file path=xl/ctrlProps/ctrlProp13.xml><?xml version="1.0" encoding="utf-8"?>
<formControlPr xmlns="http://schemas.microsoft.com/office/spreadsheetml/2009/9/main" objectType="Drop" dropLines="3" dropStyle="combo" dx="16" fmlaLink="Inputs!$D$52" fmlaRange="Inputs!$D$18:$D$20" noThreeD="1" sel="3" val="0"/>
</file>

<file path=xl/ctrlProps/ctrlProp2.xml><?xml version="1.0" encoding="utf-8"?>
<formControlPr xmlns="http://schemas.microsoft.com/office/spreadsheetml/2009/9/main" objectType="Drop" dropLines="3" dropStyle="combo" dx="16" fmlaLink="$L$22" fmlaRange="Inputs!$K$6:$K$7" noThreeD="1" sel="2" val="0"/>
</file>

<file path=xl/ctrlProps/ctrlProp3.xml><?xml version="1.0" encoding="utf-8"?>
<formControlPr xmlns="http://schemas.microsoft.com/office/spreadsheetml/2009/9/main" objectType="Drop" dropLines="5" dropStyle="combo" dx="16" fmlaLink="$K$15" fmlaRange="Inputs!$A$37:$A$42" noThreeD="1" sel="1" val="0"/>
</file>

<file path=xl/ctrlProps/ctrlProp4.xml><?xml version="1.0" encoding="utf-8"?>
<formControlPr xmlns="http://schemas.microsoft.com/office/spreadsheetml/2009/9/main" objectType="Drop" dropLines="2" dropStyle="combo" dx="16" fmlaLink="'Financial Scorecard'!$M$2" fmlaRange="Inputs!$A$32:$A$33" noThreeD="1" sel="1" val="0"/>
</file>

<file path=xl/ctrlProps/ctrlProp5.xml><?xml version="1.0" encoding="utf-8"?>
<formControlPr xmlns="http://schemas.microsoft.com/office/spreadsheetml/2009/9/main" objectType="Drop" dropLines="3" dropStyle="combo" dx="16" fmlaLink="'Gen Info'!$L$22" fmlaRange="Inputs!$K$6:$K$7" noThreeD="1" sel="2" val="0"/>
</file>

<file path=xl/ctrlProps/ctrlProp6.xml><?xml version="1.0" encoding="utf-8"?>
<formControlPr xmlns="http://schemas.microsoft.com/office/spreadsheetml/2009/9/main" objectType="Drop" dropLines="4" dropStyle="combo" dx="16" fmlaLink="'Gen Info'!$L$17" fmlaRange="Inputs!$C$18:$C$21" noThreeD="1" sel="3" val="0"/>
</file>

<file path=xl/ctrlProps/ctrlProp7.xml><?xml version="1.0" encoding="utf-8"?>
<formControlPr xmlns="http://schemas.microsoft.com/office/spreadsheetml/2009/9/main" objectType="Drop" dropLines="2" dropStyle="combo" dx="16" fmlaLink="'Financial Scorecard'!$M$2" fmlaRange="Inputs!$A$32:$A$33" noThreeD="1" sel="1" val="0"/>
</file>

<file path=xl/ctrlProps/ctrlProp8.xml><?xml version="1.0" encoding="utf-8"?>
<formControlPr xmlns="http://schemas.microsoft.com/office/spreadsheetml/2009/9/main" objectType="Drop" dropLines="2" dropStyle="combo" dx="16" fmlaLink="$M$2" fmlaRange="Inputs!$A$32:$A$33" noThreeD="1" sel="1" val="0"/>
</file>

<file path=xl/ctrlProps/ctrlProp9.xml><?xml version="1.0" encoding="utf-8"?>
<formControlPr xmlns="http://schemas.microsoft.com/office/spreadsheetml/2009/9/main" objectType="Drop" dropLines="4" dropStyle="combo" dx="16" fmlaLink="'Gen Info'!$L$17" fmlaRange="Inputs!$C$18:$C$21" noThreeD="1" sel="3" val="0"/>
</file>

<file path=xl/drawings/_rels/drawing1.xml.rels><?xml version="1.0" encoding="UTF-8" standalone="yes"?>
<Relationships xmlns="http://schemas.openxmlformats.org/package/2006/relationships"><Relationship Id="rId8" Type="http://schemas.openxmlformats.org/officeDocument/2006/relationships/hyperlink" Target="#Dashboard!A1"/><Relationship Id="rId3" Type="http://schemas.openxmlformats.org/officeDocument/2006/relationships/hyperlink" Target="#ACFSalesCropTot"/><Relationship Id="rId7" Type="http://schemas.openxmlformats.org/officeDocument/2006/relationships/hyperlink" Target="#'Financial Scorecard'!A1"/><Relationship Id="rId2" Type="http://schemas.openxmlformats.org/officeDocument/2006/relationships/hyperlink" Target="#'Final Balance Sheet'!A1"/><Relationship Id="rId1" Type="http://schemas.openxmlformats.org/officeDocument/2006/relationships/hyperlink" Target="#CACashEntry"/><Relationship Id="rId6" Type="http://schemas.openxmlformats.org/officeDocument/2006/relationships/image" Target="../media/image2.png"/><Relationship Id="rId5" Type="http://schemas.openxmlformats.org/officeDocument/2006/relationships/image" Target="../media/image1.png"/><Relationship Id="rId10" Type="http://schemas.openxmlformats.org/officeDocument/2006/relationships/image" Target="../media/image4.jpeg"/><Relationship Id="rId4" Type="http://schemas.openxmlformats.org/officeDocument/2006/relationships/hyperlink" Target="http://learn.cffm.umn.edu/Module.aspx?v=1576" TargetMode="External"/><Relationship Id="rId9"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MCFDMNewCredInput"/><Relationship Id="rId2" Type="http://schemas.openxmlformats.org/officeDocument/2006/relationships/hyperlink" Target="#MCFNewCredInput"/><Relationship Id="rId1" Type="http://schemas.openxmlformats.org/officeDocument/2006/relationships/hyperlink" Target="#'Gen Info'!K10"/><Relationship Id="rId6" Type="http://schemas.openxmlformats.org/officeDocument/2006/relationships/hyperlink" Target="#'Projected Inventory'!InvTProjCropsEntry"/><Relationship Id="rId5" Type="http://schemas.openxmlformats.org/officeDocument/2006/relationships/hyperlink" Target="#'Cash Flows'!D11"/><Relationship Id="rId4" Type="http://schemas.openxmlformats.org/officeDocument/2006/relationships/hyperlink" Target="#MCFPIncPersLoansInputLoan"/></Relationships>
</file>

<file path=xl/drawings/_rels/drawing11.xml.rels><?xml version="1.0" encoding="UTF-8" standalone="yes"?>
<Relationships xmlns="http://schemas.openxmlformats.org/package/2006/relationships"><Relationship Id="rId3" Type="http://schemas.openxmlformats.org/officeDocument/2006/relationships/hyperlink" Target="#'Gen Info'!K10"/><Relationship Id="rId7" Type="http://schemas.openxmlformats.org/officeDocument/2006/relationships/hyperlink" Target="#LoanProposedEntry"/><Relationship Id="rId2" Type="http://schemas.openxmlformats.org/officeDocument/2006/relationships/image" Target="../media/image7.png"/><Relationship Id="rId1" Type="http://schemas.openxmlformats.org/officeDocument/2006/relationships/hyperlink" Target="#MCFINVChangeInput"/><Relationship Id="rId6" Type="http://schemas.openxmlformats.org/officeDocument/2006/relationships/hyperlink" Target="#MCFDMINVChangeInput"/><Relationship Id="rId5" Type="http://schemas.openxmlformats.org/officeDocument/2006/relationships/hyperlink" Target="#'Final Income and Cash Flows'!A1"/><Relationship Id="rId4" Type="http://schemas.openxmlformats.org/officeDocument/2006/relationships/hyperlink" Target="#'Cash Flows'!D10"/></Relationships>
</file>

<file path=xl/drawings/_rels/drawing12.xml.rels><?xml version="1.0" encoding="UTF-8" standalone="yes"?>
<Relationships xmlns="http://schemas.openxmlformats.org/package/2006/relationships"><Relationship Id="rId26" Type="http://schemas.openxmlformats.org/officeDocument/2006/relationships/hyperlink" Target="#MCFDMVCSuppliedInput"/><Relationship Id="rId117" Type="http://schemas.openxmlformats.org/officeDocument/2006/relationships/hyperlink" Target="#MCFVCCropMarketingInput"/><Relationship Id="rId21" Type="http://schemas.openxmlformats.org/officeDocument/2006/relationships/hyperlink" Target="#MCFDMEquipGainInput"/><Relationship Id="rId42" Type="http://schemas.openxmlformats.org/officeDocument/2006/relationships/hyperlink" Target="#MCFPInvestInput"/><Relationship Id="rId47" Type="http://schemas.openxmlformats.org/officeDocument/2006/relationships/hyperlink" Target="#MCFPGiftsInput"/><Relationship Id="rId63" Type="http://schemas.openxmlformats.org/officeDocument/2006/relationships/hyperlink" Target="#MCFPEducationInput"/><Relationship Id="rId68" Type="http://schemas.openxmlformats.org/officeDocument/2006/relationships/hyperlink" Target="#MCFPRETaxesInput"/><Relationship Id="rId84" Type="http://schemas.openxmlformats.org/officeDocument/2006/relationships/hyperlink" Target="#MCFVCDryingInput"/><Relationship Id="rId89" Type="http://schemas.openxmlformats.org/officeDocument/2006/relationships/hyperlink" Target="#MCFDMEquipSaleInput"/><Relationship Id="rId112" Type="http://schemas.openxmlformats.org/officeDocument/2006/relationships/hyperlink" Target="#MCFVCCropInsInput"/><Relationship Id="rId133" Type="http://schemas.openxmlformats.org/officeDocument/2006/relationships/hyperlink" Target="#MCFPPersCapPurchInput"/><Relationship Id="rId16" Type="http://schemas.openxmlformats.org/officeDocument/2006/relationships/hyperlink" Target="#MCFVCTaxesInput"/><Relationship Id="rId107" Type="http://schemas.openxmlformats.org/officeDocument/2006/relationships/hyperlink" Target="#MCFFCPermitInput"/><Relationship Id="rId11" Type="http://schemas.openxmlformats.org/officeDocument/2006/relationships/hyperlink" Target="#MCFVesleaseInput"/><Relationship Id="rId32" Type="http://schemas.openxmlformats.org/officeDocument/2006/relationships/hyperlink" Target="#MCFDMFCRentInput"/><Relationship Id="rId37" Type="http://schemas.openxmlformats.org/officeDocument/2006/relationships/hyperlink" Target="#MCFDMFCMiscInput"/><Relationship Id="rId53" Type="http://schemas.openxmlformats.org/officeDocument/2006/relationships/hyperlink" Target="#MCFPOthPurchInput"/><Relationship Id="rId58" Type="http://schemas.openxmlformats.org/officeDocument/2006/relationships/hyperlink" Target="#MCFPLifeInsInput"/><Relationship Id="rId74" Type="http://schemas.openxmlformats.org/officeDocument/2006/relationships/hyperlink" Target="#MCFPIncPersLoansInput"/><Relationship Id="rId79" Type="http://schemas.openxmlformats.org/officeDocument/2006/relationships/hyperlink" Target="#MCFVCRepairsInput"/><Relationship Id="rId102" Type="http://schemas.openxmlformats.org/officeDocument/2006/relationships/hyperlink" Target="#MCFFCProfInput"/><Relationship Id="rId123" Type="http://schemas.openxmlformats.org/officeDocument/2006/relationships/hyperlink" Target="#MCFVCGovProgInput"/><Relationship Id="rId128" Type="http://schemas.openxmlformats.org/officeDocument/2006/relationships/chart" Target="../charts/chart5.xml"/><Relationship Id="rId5" Type="http://schemas.openxmlformats.org/officeDocument/2006/relationships/chart" Target="../charts/chart2.xml"/><Relationship Id="rId90" Type="http://schemas.openxmlformats.org/officeDocument/2006/relationships/hyperlink" Target="#MCFSalesLivestockProdInput"/><Relationship Id="rId95" Type="http://schemas.openxmlformats.org/officeDocument/2006/relationships/hyperlink" Target="#MCFGainEquipInput"/><Relationship Id="rId14" Type="http://schemas.openxmlformats.org/officeDocument/2006/relationships/hyperlink" Target="#MCFSalesLivestockInput"/><Relationship Id="rId22" Type="http://schemas.openxmlformats.org/officeDocument/2006/relationships/hyperlink" Target="#MCFDMOthInput"/><Relationship Id="rId27" Type="http://schemas.openxmlformats.org/officeDocument/2006/relationships/hyperlink" Target="#MCFDMVCShippingInput"/><Relationship Id="rId30" Type="http://schemas.openxmlformats.org/officeDocument/2006/relationships/hyperlink" Target="#MCFDMVCMktSuppInput"/><Relationship Id="rId35" Type="http://schemas.openxmlformats.org/officeDocument/2006/relationships/hyperlink" Target="#MCFDMFCVehInput"/><Relationship Id="rId43" Type="http://schemas.openxmlformats.org/officeDocument/2006/relationships/hyperlink" Target="#MCFPOthInput"/><Relationship Id="rId48" Type="http://schemas.openxmlformats.org/officeDocument/2006/relationships/hyperlink" Target="#MCFPChildSupportInput"/><Relationship Id="rId56" Type="http://schemas.openxmlformats.org/officeDocument/2006/relationships/hyperlink" Target="#MCFCapPurchEquipInput"/><Relationship Id="rId64" Type="http://schemas.openxmlformats.org/officeDocument/2006/relationships/hyperlink" Target="#MCFPRecInput"/><Relationship Id="rId69" Type="http://schemas.openxmlformats.org/officeDocument/2006/relationships/image" Target="../media/image9.png"/><Relationship Id="rId77" Type="http://schemas.openxmlformats.org/officeDocument/2006/relationships/hyperlink" Target="#MCFDMNewDMOpInput"/><Relationship Id="rId100" Type="http://schemas.openxmlformats.org/officeDocument/2006/relationships/hyperlink" Target="#MCFHedgingInput"/><Relationship Id="rId105" Type="http://schemas.openxmlformats.org/officeDocument/2006/relationships/hyperlink" Target="#MCFFCFarmInsInput"/><Relationship Id="rId113" Type="http://schemas.openxmlformats.org/officeDocument/2006/relationships/hyperlink" Target="#MCFVCGreenhouseSuppliesInput"/><Relationship Id="rId118" Type="http://schemas.openxmlformats.org/officeDocument/2006/relationships/hyperlink" Target="#MCFVCFeederLivestockInput"/><Relationship Id="rId126" Type="http://schemas.openxmlformats.org/officeDocument/2006/relationships/hyperlink" Target="#MCFVCCustomHireInput"/><Relationship Id="rId134" Type="http://schemas.openxmlformats.org/officeDocument/2006/relationships/hyperlink" Target="#MCFPPersVehPurchInput"/><Relationship Id="rId8" Type="http://schemas.openxmlformats.org/officeDocument/2006/relationships/hyperlink" Target="#MCFSalesCropsInput"/><Relationship Id="rId51" Type="http://schemas.openxmlformats.org/officeDocument/2006/relationships/hyperlink" Target="#MCFPIncTaxInput"/><Relationship Id="rId72" Type="http://schemas.openxmlformats.org/officeDocument/2006/relationships/hyperlink" Target="#MCFDMFCIntInput"/><Relationship Id="rId80" Type="http://schemas.openxmlformats.org/officeDocument/2006/relationships/hyperlink" Target="#MCFVCLivestockSuppliesInput"/><Relationship Id="rId85" Type="http://schemas.openxmlformats.org/officeDocument/2006/relationships/hyperlink" Target="#MCFDMVCResaleInput"/><Relationship Id="rId93" Type="http://schemas.openxmlformats.org/officeDocument/2006/relationships/hyperlink" Target="#MCFCropInsIncInput"/><Relationship Id="rId98" Type="http://schemas.openxmlformats.org/officeDocument/2006/relationships/hyperlink" Target="#MCFFCLandRentInput"/><Relationship Id="rId121" Type="http://schemas.openxmlformats.org/officeDocument/2006/relationships/hyperlink" Target="#MCFVCLivestockInsuranceInput"/><Relationship Id="rId3" Type="http://schemas.openxmlformats.org/officeDocument/2006/relationships/image" Target="../media/image10.png"/><Relationship Id="rId12" Type="http://schemas.openxmlformats.org/officeDocument/2006/relationships/hyperlink" Target="#MCFGainVesInput"/><Relationship Id="rId17" Type="http://schemas.openxmlformats.org/officeDocument/2006/relationships/hyperlink" Target="#MCFPrinInput"/><Relationship Id="rId25" Type="http://schemas.openxmlformats.org/officeDocument/2006/relationships/hyperlink" Target="#MCFDMVCPackInput"/><Relationship Id="rId33" Type="http://schemas.openxmlformats.org/officeDocument/2006/relationships/hyperlink" Target="#MCFDMFCPromoInput"/><Relationship Id="rId38" Type="http://schemas.openxmlformats.org/officeDocument/2006/relationships/hyperlink" Target="#MCFDMFCOthInput"/><Relationship Id="rId46" Type="http://schemas.openxmlformats.org/officeDocument/2006/relationships/hyperlink" Target="#MCFPInsInput"/><Relationship Id="rId59" Type="http://schemas.openxmlformats.org/officeDocument/2006/relationships/hyperlink" Target="#MCFPSupInput"/><Relationship Id="rId67" Type="http://schemas.openxmlformats.org/officeDocument/2006/relationships/hyperlink" Target="#MCFPPropInsInput"/><Relationship Id="rId103" Type="http://schemas.openxmlformats.org/officeDocument/2006/relationships/hyperlink" Target="#MCFFCPropTaxesInput"/><Relationship Id="rId108" Type="http://schemas.openxmlformats.org/officeDocument/2006/relationships/hyperlink" Target="#MCFFCMachLeaseInput"/><Relationship Id="rId116" Type="http://schemas.openxmlformats.org/officeDocument/2006/relationships/hyperlink" Target="#MCFVCCropConsultInput"/><Relationship Id="rId124" Type="http://schemas.openxmlformats.org/officeDocument/2006/relationships/hyperlink" Target="#MCFVCLivestockConsultInput"/><Relationship Id="rId129" Type="http://schemas.openxmlformats.org/officeDocument/2006/relationships/hyperlink" Target="#ACFDMINVChangeInput"/><Relationship Id="rId20" Type="http://schemas.openxmlformats.org/officeDocument/2006/relationships/hyperlink" Target="#MCFDMEtcInput"/><Relationship Id="rId41" Type="http://schemas.openxmlformats.org/officeDocument/2006/relationships/hyperlink" Target="#MCFPIntIncInput"/><Relationship Id="rId54" Type="http://schemas.openxmlformats.org/officeDocument/2006/relationships/hyperlink" Target="#MCFPOthPayInput"/><Relationship Id="rId62" Type="http://schemas.openxmlformats.org/officeDocument/2006/relationships/hyperlink" Target="#MCFPChildCareInput"/><Relationship Id="rId70" Type="http://schemas.openxmlformats.org/officeDocument/2006/relationships/hyperlink" Target="#MCFDMNewCredInput"/><Relationship Id="rId75" Type="http://schemas.openxmlformats.org/officeDocument/2006/relationships/hyperlink" Target="#MCFPIncPersREEInputLoan"/><Relationship Id="rId83" Type="http://schemas.openxmlformats.org/officeDocument/2006/relationships/hyperlink" Target="#MCFVCStorageInput"/><Relationship Id="rId88" Type="http://schemas.openxmlformats.org/officeDocument/2006/relationships/hyperlink" Target="#MCFDMSalesOtherInput"/><Relationship Id="rId91" Type="http://schemas.openxmlformats.org/officeDocument/2006/relationships/hyperlink" Target="#MCFCullIncomeInput"/><Relationship Id="rId96" Type="http://schemas.openxmlformats.org/officeDocument/2006/relationships/hyperlink" Target="#MCFIncCustomWorkInput"/><Relationship Id="rId111" Type="http://schemas.openxmlformats.org/officeDocument/2006/relationships/hyperlink" Target="#MCFVCChemInput"/><Relationship Id="rId132" Type="http://schemas.openxmlformats.org/officeDocument/2006/relationships/hyperlink" Target="#MCFPPersRetirementInput"/><Relationship Id="rId1" Type="http://schemas.openxmlformats.org/officeDocument/2006/relationships/image" Target="../media/image13.png"/><Relationship Id="rId6" Type="http://schemas.openxmlformats.org/officeDocument/2006/relationships/chart" Target="../charts/chart3.xml"/><Relationship Id="rId15" Type="http://schemas.openxmlformats.org/officeDocument/2006/relationships/hyperlink" Target="#MCFVCMiscInput"/><Relationship Id="rId23" Type="http://schemas.openxmlformats.org/officeDocument/2006/relationships/hyperlink" Target="#MCFDMVCLaborInput"/><Relationship Id="rId28" Type="http://schemas.openxmlformats.org/officeDocument/2006/relationships/hyperlink" Target="#MCFDMVCUtilInput"/><Relationship Id="rId36" Type="http://schemas.openxmlformats.org/officeDocument/2006/relationships/hyperlink" Target="#MCFDMVCDeprShoreInput"/><Relationship Id="rId49" Type="http://schemas.openxmlformats.org/officeDocument/2006/relationships/hyperlink" Target="#MCFPLoanPayInput"/><Relationship Id="rId57" Type="http://schemas.openxmlformats.org/officeDocument/2006/relationships/hyperlink" Target="#MCFPDisInsInput"/><Relationship Id="rId106" Type="http://schemas.openxmlformats.org/officeDocument/2006/relationships/hyperlink" Target="#MCFFCInterestInput"/><Relationship Id="rId114" Type="http://schemas.openxmlformats.org/officeDocument/2006/relationships/hyperlink" Target="#MCFVCCropSuppliesInput"/><Relationship Id="rId119" Type="http://schemas.openxmlformats.org/officeDocument/2006/relationships/hyperlink" Target="#MCFVCPurchFeedInput"/><Relationship Id="rId127" Type="http://schemas.openxmlformats.org/officeDocument/2006/relationships/hyperlink" Target="#MCFVCUtilInput"/><Relationship Id="rId10" Type="http://schemas.openxmlformats.org/officeDocument/2006/relationships/hyperlink" Target="#MCFOthIncomeInput"/><Relationship Id="rId31" Type="http://schemas.openxmlformats.org/officeDocument/2006/relationships/hyperlink" Target="#MCFDMVCOthInput"/><Relationship Id="rId44" Type="http://schemas.openxmlformats.org/officeDocument/2006/relationships/hyperlink" Target="#MCFPFoodInput"/><Relationship Id="rId52" Type="http://schemas.openxmlformats.org/officeDocument/2006/relationships/hyperlink" Target="#MCFPCharityInput"/><Relationship Id="rId60" Type="http://schemas.openxmlformats.org/officeDocument/2006/relationships/hyperlink" Target="#MCFPClothingInput"/><Relationship Id="rId65" Type="http://schemas.openxmlformats.org/officeDocument/2006/relationships/hyperlink" Target="#MCFPUtilInput"/><Relationship Id="rId73" Type="http://schemas.openxmlformats.org/officeDocument/2006/relationships/hyperlink" Target="#MCFPIncPersREEInput"/><Relationship Id="rId78" Type="http://schemas.openxmlformats.org/officeDocument/2006/relationships/hyperlink" Target="#MCFNewOpInput"/><Relationship Id="rId81" Type="http://schemas.openxmlformats.org/officeDocument/2006/relationships/hyperlink" Target="#MCFVCLaborInput"/><Relationship Id="rId86" Type="http://schemas.openxmlformats.org/officeDocument/2006/relationships/hyperlink" Target="#MCFDMSalesCSAInput"/><Relationship Id="rId94" Type="http://schemas.openxmlformats.org/officeDocument/2006/relationships/hyperlink" Target="#MCFPatronageInput"/><Relationship Id="rId99" Type="http://schemas.openxmlformats.org/officeDocument/2006/relationships/hyperlink" Target="#ACFINVCropChangeTot"/><Relationship Id="rId101" Type="http://schemas.openxmlformats.org/officeDocument/2006/relationships/hyperlink" Target="#MCFFCDeprEquipInput"/><Relationship Id="rId122" Type="http://schemas.openxmlformats.org/officeDocument/2006/relationships/hyperlink" Target="#MCFVCGrazingInput"/><Relationship Id="rId130" Type="http://schemas.openxmlformats.org/officeDocument/2006/relationships/hyperlink" Target="#MCFDMINVChangeInput"/><Relationship Id="rId135" Type="http://schemas.openxmlformats.org/officeDocument/2006/relationships/hyperlink" Target="#Dashboard!A1"/><Relationship Id="rId4" Type="http://schemas.openxmlformats.org/officeDocument/2006/relationships/hyperlink" Target="#HowSell"/><Relationship Id="rId9" Type="http://schemas.openxmlformats.org/officeDocument/2006/relationships/image" Target="../media/image14.emf"/><Relationship Id="rId13" Type="http://schemas.openxmlformats.org/officeDocument/2006/relationships/hyperlink" Target="#MCFSalesVegFruitInput"/><Relationship Id="rId18" Type="http://schemas.openxmlformats.org/officeDocument/2006/relationships/hyperlink" Target="#MCFSalesEquipInput"/><Relationship Id="rId39" Type="http://schemas.openxmlformats.org/officeDocument/2006/relationships/hyperlink" Target="#MCFDMPrinInput"/><Relationship Id="rId109" Type="http://schemas.openxmlformats.org/officeDocument/2006/relationships/hyperlink" Target="#MCFVCOthInput"/><Relationship Id="rId34" Type="http://schemas.openxmlformats.org/officeDocument/2006/relationships/hyperlink" Target="#MCFDMFCPermitsInput"/><Relationship Id="rId50" Type="http://schemas.openxmlformats.org/officeDocument/2006/relationships/hyperlink" Target="#MCFPMortInput"/><Relationship Id="rId55" Type="http://schemas.openxmlformats.org/officeDocument/2006/relationships/hyperlink" Target="#MCFNewCredInput"/><Relationship Id="rId76" Type="http://schemas.openxmlformats.org/officeDocument/2006/relationships/hyperlink" Target="#MCFPIncPersLoansInputLoan"/><Relationship Id="rId97" Type="http://schemas.openxmlformats.org/officeDocument/2006/relationships/hyperlink" Target="#MCFVCFuelInput"/><Relationship Id="rId104" Type="http://schemas.openxmlformats.org/officeDocument/2006/relationships/hyperlink" Target="#MCFFCOthInput"/><Relationship Id="rId120" Type="http://schemas.openxmlformats.org/officeDocument/2006/relationships/hyperlink" Target="#MCFVCVetInput"/><Relationship Id="rId125" Type="http://schemas.openxmlformats.org/officeDocument/2006/relationships/hyperlink" Target="#MCFVCLivestockMarketingInput"/><Relationship Id="rId7" Type="http://schemas.openxmlformats.org/officeDocument/2006/relationships/chart" Target="../charts/chart4.xml"/><Relationship Id="rId71" Type="http://schemas.openxmlformats.org/officeDocument/2006/relationships/hyperlink" Target="#MCFDMCapPurchInput"/><Relationship Id="rId92" Type="http://schemas.openxmlformats.org/officeDocument/2006/relationships/hyperlink" Target="#MCFGovPayInput"/><Relationship Id="rId2" Type="http://schemas.openxmlformats.org/officeDocument/2006/relationships/hyperlink" Target="#ProjPersonal"/><Relationship Id="rId29" Type="http://schemas.openxmlformats.org/officeDocument/2006/relationships/hyperlink" Target="#MCFDMVCColdInput"/><Relationship Id="rId24" Type="http://schemas.openxmlformats.org/officeDocument/2006/relationships/hyperlink" Target="#MCFDMVCInsInput"/><Relationship Id="rId40" Type="http://schemas.openxmlformats.org/officeDocument/2006/relationships/hyperlink" Target="#MCFPWageInput"/><Relationship Id="rId45" Type="http://schemas.openxmlformats.org/officeDocument/2006/relationships/hyperlink" Target="#MCFPMedicalInput"/><Relationship Id="rId66" Type="http://schemas.openxmlformats.org/officeDocument/2006/relationships/hyperlink" Target="#MCFPVehInput"/><Relationship Id="rId87" Type="http://schemas.openxmlformats.org/officeDocument/2006/relationships/hyperlink" Target="#MCFDMSalesFarmstandInput"/><Relationship Id="rId110" Type="http://schemas.openxmlformats.org/officeDocument/2006/relationships/hyperlink" Target="#MCFVCFertilizerInput"/><Relationship Id="rId115" Type="http://schemas.openxmlformats.org/officeDocument/2006/relationships/hyperlink" Target="#MCFVCIrrigationInput"/><Relationship Id="rId131" Type="http://schemas.openxmlformats.org/officeDocument/2006/relationships/hyperlink" Target="#'Financial Scorecard'!A1"/><Relationship Id="rId61" Type="http://schemas.openxmlformats.org/officeDocument/2006/relationships/hyperlink" Target="#MCFPPersCareInput"/><Relationship Id="rId82" Type="http://schemas.openxmlformats.org/officeDocument/2006/relationships/hyperlink" Target="#MCFVCSeedInput"/><Relationship Id="rId19" Type="http://schemas.openxmlformats.org/officeDocument/2006/relationships/hyperlink" Target="#MCFDMSalesFarmMktInput"/></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image" Target="../media/image18.png"/><Relationship Id="rId3" Type="http://schemas.openxmlformats.org/officeDocument/2006/relationships/chart" Target="../charts/chart6.xml"/><Relationship Id="rId21" Type="http://schemas.openxmlformats.org/officeDocument/2006/relationships/hyperlink" Target="#'Gen Info'!K10"/><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hyperlink" Target="http://learn.cffm.umn.edu/Module.aspx?v=1581" TargetMode="External"/><Relationship Id="rId2" Type="http://schemas.openxmlformats.org/officeDocument/2006/relationships/image" Target="../media/image10.png"/><Relationship Id="rId16" Type="http://schemas.openxmlformats.org/officeDocument/2006/relationships/chart" Target="../charts/chart17.xml"/><Relationship Id="rId20" Type="http://schemas.openxmlformats.org/officeDocument/2006/relationships/hyperlink" Target="#'Final Income and Cash Flows'!A1"/><Relationship Id="rId1" Type="http://schemas.openxmlformats.org/officeDocument/2006/relationships/hyperlink" Target="#HowSell"/><Relationship Id="rId6" Type="http://schemas.openxmlformats.org/officeDocument/2006/relationships/image" Target="../media/image16.png"/><Relationship Id="rId11" Type="http://schemas.openxmlformats.org/officeDocument/2006/relationships/chart" Target="../charts/chart12.xml"/><Relationship Id="rId24" Type="http://schemas.openxmlformats.org/officeDocument/2006/relationships/image" Target="../media/image17.png"/><Relationship Id="rId5" Type="http://schemas.openxmlformats.org/officeDocument/2006/relationships/hyperlink" Target="http://z.umn.edu/finbincompareagplan" TargetMode="External"/><Relationship Id="rId15" Type="http://schemas.openxmlformats.org/officeDocument/2006/relationships/chart" Target="../charts/chart16.xml"/><Relationship Id="rId23" Type="http://schemas.openxmlformats.org/officeDocument/2006/relationships/hyperlink" Target="http://ifsam.cffm.umn.edu/" TargetMode="External"/><Relationship Id="rId10" Type="http://schemas.openxmlformats.org/officeDocument/2006/relationships/chart" Target="../charts/chart11.xml"/><Relationship Id="rId19" Type="http://schemas.openxmlformats.org/officeDocument/2006/relationships/hyperlink" Target="#Dashboard!A1"/><Relationship Id="rId4" Type="http://schemas.openxmlformats.org/officeDocument/2006/relationships/chart" Target="../charts/chart7.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hyperlink" Target="#'Final Balance Sheet'!A1"/></Relationships>
</file>

<file path=xl/drawings/_rels/drawing18.xml.rels><?xml version="1.0" encoding="UTF-8" standalone="yes"?>
<Relationships xmlns="http://schemas.openxmlformats.org/package/2006/relationships"><Relationship Id="rId8" Type="http://schemas.openxmlformats.org/officeDocument/2006/relationships/hyperlink" Target="#'Financial Scorecard'!A1"/><Relationship Id="rId3" Type="http://schemas.openxmlformats.org/officeDocument/2006/relationships/chart" Target="../charts/chart22.xml"/><Relationship Id="rId7" Type="http://schemas.openxmlformats.org/officeDocument/2006/relationships/chart" Target="../charts/chart23.xml"/><Relationship Id="rId12" Type="http://schemas.openxmlformats.org/officeDocument/2006/relationships/image" Target="../media/image20.png"/><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image" Target="../media/image19.png"/><Relationship Id="rId11" Type="http://schemas.openxmlformats.org/officeDocument/2006/relationships/hyperlink" Target="http://learn.cffm.umn.edu/Module.aspx?v=1580" TargetMode="External"/><Relationship Id="rId5" Type="http://schemas.openxmlformats.org/officeDocument/2006/relationships/image" Target="../media/image17.png"/><Relationship Id="rId10" Type="http://schemas.openxmlformats.org/officeDocument/2006/relationships/hyperlink" Target="#'Gen Info'!K10"/><Relationship Id="rId4" Type="http://schemas.openxmlformats.org/officeDocument/2006/relationships/hyperlink" Target="http://ifsam.cffm.umn.edu/" TargetMode="External"/><Relationship Id="rId9" Type="http://schemas.openxmlformats.org/officeDocument/2006/relationships/hyperlink" Target="#'Final Income and Cash Flows'!A1"/></Relationships>
</file>

<file path=xl/drawings/_rels/drawing1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6.jpg"/><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xml.rels><?xml version="1.0" encoding="UTF-8" standalone="yes"?>
<Relationships xmlns="http://schemas.openxmlformats.org/package/2006/relationships"><Relationship Id="rId8" Type="http://schemas.openxmlformats.org/officeDocument/2006/relationships/hyperlink" Target="#LoanTCurrEntry"/><Relationship Id="rId13" Type="http://schemas.openxmlformats.org/officeDocument/2006/relationships/hyperlink" Target="#'Final Balance Sheet'!C13"/><Relationship Id="rId18" Type="http://schemas.openxmlformats.org/officeDocument/2006/relationships/hyperlink" Target="#'Final Balance Sheet'!C22"/><Relationship Id="rId26" Type="http://schemas.openxmlformats.org/officeDocument/2006/relationships/hyperlink" Target="#'Final Balance Sheet'!C48"/><Relationship Id="rId3" Type="http://schemas.openxmlformats.org/officeDocument/2006/relationships/hyperlink" Target="#'Final Balance Sheet'!C17"/><Relationship Id="rId21" Type="http://schemas.openxmlformats.org/officeDocument/2006/relationships/hyperlink" Target="#'Final Balance Sheet'!C43"/><Relationship Id="rId7" Type="http://schemas.openxmlformats.org/officeDocument/2006/relationships/hyperlink" Target="#CLAPEntry"/><Relationship Id="rId12" Type="http://schemas.openxmlformats.org/officeDocument/2006/relationships/hyperlink" Target="#'Final Balance Sheet'!C12"/><Relationship Id="rId17" Type="http://schemas.openxmlformats.org/officeDocument/2006/relationships/hyperlink" Target="#'Final Balance Sheet'!C21"/><Relationship Id="rId25" Type="http://schemas.openxmlformats.org/officeDocument/2006/relationships/hyperlink" Target="#'Final Balance Sheet'!C47"/><Relationship Id="rId2" Type="http://schemas.openxmlformats.org/officeDocument/2006/relationships/image" Target="../media/image7.png"/><Relationship Id="rId16" Type="http://schemas.openxmlformats.org/officeDocument/2006/relationships/hyperlink" Target="#'Final Balance Sheet'!C20"/><Relationship Id="rId20" Type="http://schemas.openxmlformats.org/officeDocument/2006/relationships/hyperlink" Target="#'Final Balance Sheet'!C42"/><Relationship Id="rId1" Type="http://schemas.openxmlformats.org/officeDocument/2006/relationships/hyperlink" Target="#'Final Balance Sheet'!C8"/><Relationship Id="rId6" Type="http://schemas.openxmlformats.org/officeDocument/2006/relationships/hyperlink" Target="#'Final Balance Sheet'!A1"/><Relationship Id="rId11" Type="http://schemas.openxmlformats.org/officeDocument/2006/relationships/hyperlink" Target="#'Final Balance Sheet'!C11"/><Relationship Id="rId24" Type="http://schemas.openxmlformats.org/officeDocument/2006/relationships/hyperlink" Target="#'Final Balance Sheet'!C46"/><Relationship Id="rId5" Type="http://schemas.openxmlformats.org/officeDocument/2006/relationships/hyperlink" Target="#'Gen Info'!K10"/><Relationship Id="rId15" Type="http://schemas.openxmlformats.org/officeDocument/2006/relationships/hyperlink" Target="#'Final Balance Sheet'!C19"/><Relationship Id="rId23" Type="http://schemas.openxmlformats.org/officeDocument/2006/relationships/hyperlink" Target="#'Final Balance Sheet'!C45"/><Relationship Id="rId28" Type="http://schemas.openxmlformats.org/officeDocument/2006/relationships/hyperlink" Target="#InvTCropsEntry"/><Relationship Id="rId10" Type="http://schemas.openxmlformats.org/officeDocument/2006/relationships/hyperlink" Target="#'Final Balance Sheet'!C10"/><Relationship Id="rId19" Type="http://schemas.openxmlformats.org/officeDocument/2006/relationships/hyperlink" Target="#'Final Balance Sheet'!C23"/><Relationship Id="rId4" Type="http://schemas.openxmlformats.org/officeDocument/2006/relationships/hyperlink" Target="#'Final Balance Sheet'!C41"/><Relationship Id="rId9" Type="http://schemas.openxmlformats.org/officeDocument/2006/relationships/hyperlink" Target="#'Final Balance Sheet'!C9"/><Relationship Id="rId14" Type="http://schemas.openxmlformats.org/officeDocument/2006/relationships/hyperlink" Target="#'Final Balance Sheet'!C18"/><Relationship Id="rId22" Type="http://schemas.openxmlformats.org/officeDocument/2006/relationships/hyperlink" Target="#'Final Balance Sheet'!C44"/><Relationship Id="rId27" Type="http://schemas.openxmlformats.org/officeDocument/2006/relationships/hyperlink" Target="#'Final Balance Sheet'!C49"/></Relationships>
</file>

<file path=xl/drawings/_rels/drawing5.xml.rels><?xml version="1.0" encoding="UTF-8" standalone="yes"?>
<Relationships xmlns="http://schemas.openxmlformats.org/package/2006/relationships"><Relationship Id="rId8" Type="http://schemas.openxmlformats.org/officeDocument/2006/relationships/hyperlink" Target="#MCFDMINVChangeInput"/><Relationship Id="rId3" Type="http://schemas.openxmlformats.org/officeDocument/2006/relationships/hyperlink" Target="#'Gen Info'!K10"/><Relationship Id="rId7" Type="http://schemas.openxmlformats.org/officeDocument/2006/relationships/hyperlink" Target="#'Final Balance Sheet'!C11"/><Relationship Id="rId2" Type="http://schemas.openxmlformats.org/officeDocument/2006/relationships/image" Target="../media/image7.png"/><Relationship Id="rId1" Type="http://schemas.openxmlformats.org/officeDocument/2006/relationships/hyperlink" Target="#'Final Balance Sheet'!C10"/><Relationship Id="rId6" Type="http://schemas.openxmlformats.org/officeDocument/2006/relationships/hyperlink" Target="#LoanTCurrEntry"/><Relationship Id="rId5" Type="http://schemas.openxmlformats.org/officeDocument/2006/relationships/hyperlink" Target="#CLAPEntry"/><Relationship Id="rId4" Type="http://schemas.openxmlformats.org/officeDocument/2006/relationships/hyperlink" Target="#'Final Balance Sheet'!A1"/><Relationship Id="rId9" Type="http://schemas.openxmlformats.org/officeDocument/2006/relationships/hyperlink" Target="#CACashEntry"/></Relationships>
</file>

<file path=xl/drawings/_rels/drawing6.xml.rels><?xml version="1.0" encoding="UTF-8" standalone="yes"?>
<Relationships xmlns="http://schemas.openxmlformats.org/package/2006/relationships"><Relationship Id="rId8" Type="http://schemas.openxmlformats.org/officeDocument/2006/relationships/hyperlink" Target="#'Final Balance Sheet'!G10"/><Relationship Id="rId13" Type="http://schemas.openxmlformats.org/officeDocument/2006/relationships/hyperlink" Target="#'Final Balance Sheet'!G44"/><Relationship Id="rId3" Type="http://schemas.openxmlformats.org/officeDocument/2006/relationships/hyperlink" Target="#'Final Balance Sheet'!G41"/><Relationship Id="rId7" Type="http://schemas.openxmlformats.org/officeDocument/2006/relationships/hyperlink" Target="#LoanTCurrEntry"/><Relationship Id="rId12" Type="http://schemas.openxmlformats.org/officeDocument/2006/relationships/hyperlink" Target="#'Final Balance Sheet'!G43"/><Relationship Id="rId2" Type="http://schemas.openxmlformats.org/officeDocument/2006/relationships/image" Target="../media/image7.png"/><Relationship Id="rId16" Type="http://schemas.openxmlformats.org/officeDocument/2006/relationships/hyperlink" Target="#InvTCropsEntry"/><Relationship Id="rId1" Type="http://schemas.openxmlformats.org/officeDocument/2006/relationships/hyperlink" Target="#'Final Balance Sheet'!G13"/><Relationship Id="rId6" Type="http://schemas.openxmlformats.org/officeDocument/2006/relationships/hyperlink" Target="#CACashEntry"/><Relationship Id="rId11" Type="http://schemas.openxmlformats.org/officeDocument/2006/relationships/hyperlink" Target="#'Final Balance Sheet'!G22"/><Relationship Id="rId5" Type="http://schemas.openxmlformats.org/officeDocument/2006/relationships/hyperlink" Target="#'Final Balance Sheet'!A1"/><Relationship Id="rId15" Type="http://schemas.openxmlformats.org/officeDocument/2006/relationships/hyperlink" Target="#'Final Balance Sheet'!G12"/><Relationship Id="rId10" Type="http://schemas.openxmlformats.org/officeDocument/2006/relationships/hyperlink" Target="#'Final Balance Sheet'!G14"/><Relationship Id="rId4" Type="http://schemas.openxmlformats.org/officeDocument/2006/relationships/hyperlink" Target="#'Gen Info'!K10"/><Relationship Id="rId9" Type="http://schemas.openxmlformats.org/officeDocument/2006/relationships/hyperlink" Target="#'Final Balance Sheet'!G11"/><Relationship Id="rId14" Type="http://schemas.openxmlformats.org/officeDocument/2006/relationships/hyperlink" Target="#'Final Balance Sheet'!G46"/></Relationships>
</file>

<file path=xl/drawings/_rels/drawing7.xml.rels><?xml version="1.0" encoding="UTF-8" standalone="yes"?>
<Relationships xmlns="http://schemas.openxmlformats.org/package/2006/relationships"><Relationship Id="rId8" Type="http://schemas.openxmlformats.org/officeDocument/2006/relationships/hyperlink" Target="#'Final Balance Sheet'!G18"/><Relationship Id="rId13" Type="http://schemas.openxmlformats.org/officeDocument/2006/relationships/hyperlink" Target="#'Final Balance Sheet'!G21"/><Relationship Id="rId18" Type="http://schemas.openxmlformats.org/officeDocument/2006/relationships/hyperlink" Target="#'Final Balance Sheet'!G25"/><Relationship Id="rId3" Type="http://schemas.openxmlformats.org/officeDocument/2006/relationships/hyperlink" Target="#'Gen Info'!K10"/><Relationship Id="rId7" Type="http://schemas.openxmlformats.org/officeDocument/2006/relationships/hyperlink" Target="#'Final Balance Sheet'!G20"/><Relationship Id="rId12" Type="http://schemas.openxmlformats.org/officeDocument/2006/relationships/hyperlink" Target="#'Final Balance Sheet'!G17"/><Relationship Id="rId17" Type="http://schemas.openxmlformats.org/officeDocument/2006/relationships/hyperlink" Target="#InvTCropsEntry"/><Relationship Id="rId2" Type="http://schemas.openxmlformats.org/officeDocument/2006/relationships/image" Target="../media/image8.png"/><Relationship Id="rId16" Type="http://schemas.openxmlformats.org/officeDocument/2006/relationships/hyperlink" Target="#'Final Balance Sheet'!G24"/><Relationship Id="rId1" Type="http://schemas.openxmlformats.org/officeDocument/2006/relationships/hyperlink" Target="#'Final Balance Sheet'!G8"/><Relationship Id="rId6" Type="http://schemas.openxmlformats.org/officeDocument/2006/relationships/hyperlink" Target="#CLAPEntry"/><Relationship Id="rId11" Type="http://schemas.openxmlformats.org/officeDocument/2006/relationships/hyperlink" Target="#'Final Balance Sheet'!G45"/><Relationship Id="rId5" Type="http://schemas.openxmlformats.org/officeDocument/2006/relationships/hyperlink" Target="#CACashEntry"/><Relationship Id="rId15" Type="http://schemas.openxmlformats.org/officeDocument/2006/relationships/hyperlink" Target="#'Final Balance Sheet'!G23"/><Relationship Id="rId10" Type="http://schemas.openxmlformats.org/officeDocument/2006/relationships/hyperlink" Target="#'Final Balance Sheet'!G42"/><Relationship Id="rId4" Type="http://schemas.openxmlformats.org/officeDocument/2006/relationships/hyperlink" Target="#'Final Balance Sheet'!A1"/><Relationship Id="rId9" Type="http://schemas.openxmlformats.org/officeDocument/2006/relationships/hyperlink" Target="#'Final Balance Sheet'!G19"/><Relationship Id="rId14" Type="http://schemas.openxmlformats.org/officeDocument/2006/relationships/hyperlink" Target="#'Final Balance Sheet'!G22"/></Relationships>
</file>

<file path=xl/drawings/_rels/drawing8.xml.rels><?xml version="1.0" encoding="UTF-8" standalone="yes"?>
<Relationships xmlns="http://schemas.openxmlformats.org/package/2006/relationships"><Relationship Id="rId8" Type="http://schemas.openxmlformats.org/officeDocument/2006/relationships/hyperlink" Target="#ProposedLoans!B6"/><Relationship Id="rId3" Type="http://schemas.openxmlformats.org/officeDocument/2006/relationships/hyperlink" Target="#'Cash Flows'!D10"/><Relationship Id="rId7" Type="http://schemas.openxmlformats.org/officeDocument/2006/relationships/hyperlink" Target="http://learn.cffm.umn.edu/Module.aspx?v=1577" TargetMode="External"/><Relationship Id="rId12" Type="http://schemas.openxmlformats.org/officeDocument/2006/relationships/hyperlink" Target="#Dashboard!A1"/><Relationship Id="rId2" Type="http://schemas.openxmlformats.org/officeDocument/2006/relationships/image" Target="../media/image9.png"/><Relationship Id="rId1" Type="http://schemas.openxmlformats.org/officeDocument/2006/relationships/hyperlink" Target="#CACashEntry"/><Relationship Id="rId6" Type="http://schemas.openxmlformats.org/officeDocument/2006/relationships/hyperlink" Target="#LoanTCurrEntry"/><Relationship Id="rId11" Type="http://schemas.openxmlformats.org/officeDocument/2006/relationships/hyperlink" Target="#'Financial Scorecard'!A1"/><Relationship Id="rId5" Type="http://schemas.openxmlformats.org/officeDocument/2006/relationships/hyperlink" Target="#CLAPEntry"/><Relationship Id="rId10" Type="http://schemas.openxmlformats.org/officeDocument/2006/relationships/hyperlink" Target="#InvTCropsEntry"/><Relationship Id="rId4" Type="http://schemas.openxmlformats.org/officeDocument/2006/relationships/hyperlink" Target="#'Gen Info'!K10"/><Relationship Id="rId9" Type="http://schemas.openxmlformats.org/officeDocument/2006/relationships/hyperlink" Target="#'Final Balance Sheet'!A1"/></Relationships>
</file>

<file path=xl/drawings/_rels/drawing9.xml.rels><?xml version="1.0" encoding="UTF-8" standalone="yes"?>
<Relationships xmlns="http://schemas.openxmlformats.org/package/2006/relationships"><Relationship Id="rId26" Type="http://schemas.openxmlformats.org/officeDocument/2006/relationships/hyperlink" Target="#ACFFCPropTaxInput"/><Relationship Id="rId117" Type="http://schemas.openxmlformats.org/officeDocument/2006/relationships/hyperlink" Target="#ACFVCCropMarketingInput"/><Relationship Id="rId21" Type="http://schemas.openxmlformats.org/officeDocument/2006/relationships/hyperlink" Target="#ACFFCLandRentInput"/><Relationship Id="rId42" Type="http://schemas.openxmlformats.org/officeDocument/2006/relationships/hyperlink" Target="#ACFDMVCResaleInput"/><Relationship Id="rId47" Type="http://schemas.openxmlformats.org/officeDocument/2006/relationships/hyperlink" Target="#ACFDMFCPermitsInput"/><Relationship Id="rId63" Type="http://schemas.openxmlformats.org/officeDocument/2006/relationships/hyperlink" Target="#ACFPLoanPayInput"/><Relationship Id="rId68" Type="http://schemas.openxmlformats.org/officeDocument/2006/relationships/hyperlink" Target="#ACFPOthPayInput"/><Relationship Id="rId84" Type="http://schemas.openxmlformats.org/officeDocument/2006/relationships/hyperlink" Target="#'Gen Info'!K10"/><Relationship Id="rId89" Type="http://schemas.openxmlformats.org/officeDocument/2006/relationships/hyperlink" Target="#ACFPIncPersLoansInput"/><Relationship Id="rId112" Type="http://schemas.openxmlformats.org/officeDocument/2006/relationships/hyperlink" Target="#ACFVCCropInsInput"/><Relationship Id="rId133" Type="http://schemas.openxmlformats.org/officeDocument/2006/relationships/hyperlink" Target="#MCFSalesCropsInput"/><Relationship Id="rId16" Type="http://schemas.openxmlformats.org/officeDocument/2006/relationships/hyperlink" Target="#ACFVCLivestockSuppliesInput"/><Relationship Id="rId107" Type="http://schemas.openxmlformats.org/officeDocument/2006/relationships/hyperlink" Target="#ACFSalesBuildInput"/><Relationship Id="rId11" Type="http://schemas.openxmlformats.org/officeDocument/2006/relationships/hyperlink" Target="#ACFOthIncomeInput"/><Relationship Id="rId32" Type="http://schemas.openxmlformats.org/officeDocument/2006/relationships/hyperlink" Target="#ACFDMSalesFarmMktInput"/><Relationship Id="rId37" Type="http://schemas.openxmlformats.org/officeDocument/2006/relationships/hyperlink" Target="#ACFDMVCPackInput"/><Relationship Id="rId53" Type="http://schemas.openxmlformats.org/officeDocument/2006/relationships/hyperlink" Target="#ACFDMEquipSaleInput"/><Relationship Id="rId58" Type="http://schemas.openxmlformats.org/officeDocument/2006/relationships/hyperlink" Target="#ACFPFoodInput"/><Relationship Id="rId74" Type="http://schemas.openxmlformats.org/officeDocument/2006/relationships/hyperlink" Target="#ACFPGiftsInput"/><Relationship Id="rId79" Type="http://schemas.openxmlformats.org/officeDocument/2006/relationships/hyperlink" Target="#ACFPChildSupInput"/><Relationship Id="rId102" Type="http://schemas.openxmlformats.org/officeDocument/2006/relationships/hyperlink" Target="#ACFCullIncomeInput"/><Relationship Id="rId123" Type="http://schemas.openxmlformats.org/officeDocument/2006/relationships/hyperlink" Target="#ACFVCGovProgInput"/><Relationship Id="rId128" Type="http://schemas.openxmlformats.org/officeDocument/2006/relationships/hyperlink" Target="#'Projected Inventory'!InvTProjOtherEntry"/><Relationship Id="rId5" Type="http://schemas.openxmlformats.org/officeDocument/2006/relationships/hyperlink" Target="#'Final Income and Cash Flows'!A1"/><Relationship Id="rId90" Type="http://schemas.openxmlformats.org/officeDocument/2006/relationships/hyperlink" Target="#ACFPIncPersREEInputLoan"/><Relationship Id="rId95" Type="http://schemas.openxmlformats.org/officeDocument/2006/relationships/image" Target="../media/image12.png"/><Relationship Id="rId14" Type="http://schemas.openxmlformats.org/officeDocument/2006/relationships/hyperlink" Target="#ACFVCStorageInput"/><Relationship Id="rId22" Type="http://schemas.openxmlformats.org/officeDocument/2006/relationships/hyperlink" Target="#ACFFCInterestInput"/><Relationship Id="rId27" Type="http://schemas.openxmlformats.org/officeDocument/2006/relationships/hyperlink" Target="#ACFFCMiscInput"/><Relationship Id="rId30" Type="http://schemas.openxmlformats.org/officeDocument/2006/relationships/hyperlink" Target="#ACFSalesEquipInput"/><Relationship Id="rId35" Type="http://schemas.openxmlformats.org/officeDocument/2006/relationships/hyperlink" Target="#ACFDMVCLaborInput"/><Relationship Id="rId43" Type="http://schemas.openxmlformats.org/officeDocument/2006/relationships/hyperlink" Target="#ACFDMVCMktSuppInput"/><Relationship Id="rId48" Type="http://schemas.openxmlformats.org/officeDocument/2006/relationships/hyperlink" Target="#ACFDMFCVehInput"/><Relationship Id="rId56" Type="http://schemas.openxmlformats.org/officeDocument/2006/relationships/hyperlink" Target="#ACFPInvestInput"/><Relationship Id="rId64" Type="http://schemas.openxmlformats.org/officeDocument/2006/relationships/hyperlink" Target="#ACFPMortInput"/><Relationship Id="rId69" Type="http://schemas.openxmlformats.org/officeDocument/2006/relationships/hyperlink" Target="#ACFNewCredInput"/><Relationship Id="rId77" Type="http://schemas.openxmlformats.org/officeDocument/2006/relationships/hyperlink" Target="#ACFPPersCareInput"/><Relationship Id="rId100" Type="http://schemas.openxmlformats.org/officeDocument/2006/relationships/hyperlink" Target="#ACFDMSalesFarmstandInput"/><Relationship Id="rId105" Type="http://schemas.openxmlformats.org/officeDocument/2006/relationships/hyperlink" Target="#ACFNetHedgingInput"/><Relationship Id="rId113" Type="http://schemas.openxmlformats.org/officeDocument/2006/relationships/hyperlink" Target="#ACFVCGreenhouseSuppliesInput"/><Relationship Id="rId118" Type="http://schemas.openxmlformats.org/officeDocument/2006/relationships/hyperlink" Target="#ACFVCFeederLivestockInput"/><Relationship Id="rId126" Type="http://schemas.openxmlformats.org/officeDocument/2006/relationships/hyperlink" Target="#ACFVCUtilInput"/><Relationship Id="rId134" Type="http://schemas.openxmlformats.org/officeDocument/2006/relationships/hyperlink" Target="#MCFDMSalesFarmMktInput"/><Relationship Id="rId8" Type="http://schemas.openxmlformats.org/officeDocument/2006/relationships/hyperlink" Target="#ACFSalesVegFruitInput"/><Relationship Id="rId51" Type="http://schemas.openxmlformats.org/officeDocument/2006/relationships/hyperlink" Target="#ACFDMFCOthInput"/><Relationship Id="rId72" Type="http://schemas.openxmlformats.org/officeDocument/2006/relationships/hyperlink" Target="#ACFDMCapPurchInput"/><Relationship Id="rId80" Type="http://schemas.openxmlformats.org/officeDocument/2006/relationships/hyperlink" Target="#ACFPEducationInput"/><Relationship Id="rId85" Type="http://schemas.openxmlformats.org/officeDocument/2006/relationships/hyperlink" Target="http://learn.cffm.umn.edu/Module.aspx?v=1578" TargetMode="External"/><Relationship Id="rId93" Type="http://schemas.openxmlformats.org/officeDocument/2006/relationships/hyperlink" Target="#ACFNewOpInput"/><Relationship Id="rId98" Type="http://schemas.openxmlformats.org/officeDocument/2006/relationships/hyperlink" Target="#ACFDMEtcInput"/><Relationship Id="rId121" Type="http://schemas.openxmlformats.org/officeDocument/2006/relationships/hyperlink" Target="#ACFVCLivestockInsuranceInput"/><Relationship Id="rId3" Type="http://schemas.openxmlformats.org/officeDocument/2006/relationships/image" Target="../media/image10.png"/><Relationship Id="rId12" Type="http://schemas.openxmlformats.org/officeDocument/2006/relationships/hyperlink" Target="#ACFVCLaborInput"/><Relationship Id="rId17" Type="http://schemas.openxmlformats.org/officeDocument/2006/relationships/hyperlink" Target="#ACFVCRepairsInput"/><Relationship Id="rId25" Type="http://schemas.openxmlformats.org/officeDocument/2006/relationships/hyperlink" Target="#ACFFCProfInput"/><Relationship Id="rId33" Type="http://schemas.openxmlformats.org/officeDocument/2006/relationships/hyperlink" Target="#ACFDMEquipGainInput"/><Relationship Id="rId38" Type="http://schemas.openxmlformats.org/officeDocument/2006/relationships/hyperlink" Target="#ACFDMVCSuppliesInput"/><Relationship Id="rId46" Type="http://schemas.openxmlformats.org/officeDocument/2006/relationships/hyperlink" Target="#ACFDMFCPromoInput"/><Relationship Id="rId59" Type="http://schemas.openxmlformats.org/officeDocument/2006/relationships/hyperlink" Target="#ACFPMedicalInput"/><Relationship Id="rId67" Type="http://schemas.openxmlformats.org/officeDocument/2006/relationships/hyperlink" Target="#ACFPOthPurchInput"/><Relationship Id="rId103" Type="http://schemas.openxmlformats.org/officeDocument/2006/relationships/hyperlink" Target="#ACFGovPayInput"/><Relationship Id="rId108" Type="http://schemas.openxmlformats.org/officeDocument/2006/relationships/hyperlink" Target="#'Projected Inventory'!InvTProjCropsEntry"/><Relationship Id="rId116" Type="http://schemas.openxmlformats.org/officeDocument/2006/relationships/hyperlink" Target="#ACFVCCropConsultInput"/><Relationship Id="rId124" Type="http://schemas.openxmlformats.org/officeDocument/2006/relationships/hyperlink" Target="#ACFVCLivestockMarketingInput"/><Relationship Id="rId129" Type="http://schemas.openxmlformats.org/officeDocument/2006/relationships/hyperlink" Target="#ACFPPersRetirementInput"/><Relationship Id="rId20" Type="http://schemas.openxmlformats.org/officeDocument/2006/relationships/hyperlink" Target="#ACFVCOthInput"/><Relationship Id="rId41" Type="http://schemas.openxmlformats.org/officeDocument/2006/relationships/hyperlink" Target="#ACFDMVCColdInput"/><Relationship Id="rId54" Type="http://schemas.openxmlformats.org/officeDocument/2006/relationships/hyperlink" Target="#ACFPWagesInput"/><Relationship Id="rId62" Type="http://schemas.openxmlformats.org/officeDocument/2006/relationships/hyperlink" Target="#ACFPVehInput"/><Relationship Id="rId70" Type="http://schemas.openxmlformats.org/officeDocument/2006/relationships/hyperlink" Target="#ACFCapPurchInput"/><Relationship Id="rId75" Type="http://schemas.openxmlformats.org/officeDocument/2006/relationships/hyperlink" Target="#ACFPSupInput"/><Relationship Id="rId83" Type="http://schemas.openxmlformats.org/officeDocument/2006/relationships/hyperlink" Target="#ACFPPropInsInput"/><Relationship Id="rId88" Type="http://schemas.openxmlformats.org/officeDocument/2006/relationships/hyperlink" Target="#ACFPIncPersREEInput"/><Relationship Id="rId91" Type="http://schemas.openxmlformats.org/officeDocument/2006/relationships/hyperlink" Target="#ACFPIncPersLoansInputLoan"/><Relationship Id="rId96" Type="http://schemas.openxmlformats.org/officeDocument/2006/relationships/hyperlink" Target="#ACFSalesLivestockProdInput"/><Relationship Id="rId111" Type="http://schemas.openxmlformats.org/officeDocument/2006/relationships/hyperlink" Target="#ACFVCChemInput"/><Relationship Id="rId132" Type="http://schemas.openxmlformats.org/officeDocument/2006/relationships/hyperlink" Target="#'Projected Inventory'!InvProjCropsEntry"/><Relationship Id="rId1" Type="http://schemas.openxmlformats.org/officeDocument/2006/relationships/image" Target="../media/image9.png"/><Relationship Id="rId6" Type="http://schemas.openxmlformats.org/officeDocument/2006/relationships/hyperlink" Target="#ACFSalesCropsInput"/><Relationship Id="rId15" Type="http://schemas.openxmlformats.org/officeDocument/2006/relationships/hyperlink" Target="#ACFVCFuelInput"/><Relationship Id="rId23" Type="http://schemas.openxmlformats.org/officeDocument/2006/relationships/hyperlink" Target="#ACFFCDeprEquipInput"/><Relationship Id="rId28" Type="http://schemas.openxmlformats.org/officeDocument/2006/relationships/hyperlink" Target="#ACFFCOthInput"/><Relationship Id="rId36" Type="http://schemas.openxmlformats.org/officeDocument/2006/relationships/hyperlink" Target="#ACFDMVCInsInput"/><Relationship Id="rId49" Type="http://schemas.openxmlformats.org/officeDocument/2006/relationships/hyperlink" Target="#ACFDMFCDeprInput"/><Relationship Id="rId57" Type="http://schemas.openxmlformats.org/officeDocument/2006/relationships/hyperlink" Target="#ACFPOthIncInput"/><Relationship Id="rId106" Type="http://schemas.openxmlformats.org/officeDocument/2006/relationships/hyperlink" Target="#ACFPatronageInput"/><Relationship Id="rId114" Type="http://schemas.openxmlformats.org/officeDocument/2006/relationships/hyperlink" Target="#ACFVCCropSuppliesInput"/><Relationship Id="rId119" Type="http://schemas.openxmlformats.org/officeDocument/2006/relationships/hyperlink" Target="#ACFVCPurchFeedInput"/><Relationship Id="rId127" Type="http://schemas.openxmlformats.org/officeDocument/2006/relationships/hyperlink" Target="#ACFDMINVChangeInput"/><Relationship Id="rId10" Type="http://schemas.openxmlformats.org/officeDocument/2006/relationships/hyperlink" Target="#ACFSalesLivestockInput"/><Relationship Id="rId31" Type="http://schemas.openxmlformats.org/officeDocument/2006/relationships/hyperlink" Target="#ACFIncCustomWorkInput"/><Relationship Id="rId44" Type="http://schemas.openxmlformats.org/officeDocument/2006/relationships/hyperlink" Target="#ACFDMVCOthInput"/><Relationship Id="rId52" Type="http://schemas.openxmlformats.org/officeDocument/2006/relationships/hyperlink" Target="#ACFDMPrinInput"/><Relationship Id="rId60" Type="http://schemas.openxmlformats.org/officeDocument/2006/relationships/hyperlink" Target="#ACFPInsInput"/><Relationship Id="rId65" Type="http://schemas.openxmlformats.org/officeDocument/2006/relationships/hyperlink" Target="#ACFPRETaxesInput"/><Relationship Id="rId73" Type="http://schemas.openxmlformats.org/officeDocument/2006/relationships/hyperlink" Target="#ACFPDisInsInput"/><Relationship Id="rId78" Type="http://schemas.openxmlformats.org/officeDocument/2006/relationships/hyperlink" Target="#ACFPChildCareInput"/><Relationship Id="rId81" Type="http://schemas.openxmlformats.org/officeDocument/2006/relationships/hyperlink" Target="#ACFPRecInput"/><Relationship Id="rId86" Type="http://schemas.openxmlformats.org/officeDocument/2006/relationships/hyperlink" Target="http://learn.cffm.umn.edu/Module.aspx?v=1579" TargetMode="External"/><Relationship Id="rId94" Type="http://schemas.openxmlformats.org/officeDocument/2006/relationships/hyperlink" Target="#LoanProposedEntry"/><Relationship Id="rId99" Type="http://schemas.openxmlformats.org/officeDocument/2006/relationships/hyperlink" Target="#ACFDMSalesCSAInput"/><Relationship Id="rId101" Type="http://schemas.openxmlformats.org/officeDocument/2006/relationships/hyperlink" Target="#ACFDMSalesOtherInput"/><Relationship Id="rId122" Type="http://schemas.openxmlformats.org/officeDocument/2006/relationships/hyperlink" Target="#ACFVCGrazingInput"/><Relationship Id="rId130" Type="http://schemas.openxmlformats.org/officeDocument/2006/relationships/hyperlink" Target="#ACFPPersCapPurchInput"/><Relationship Id="rId135" Type="http://schemas.openxmlformats.org/officeDocument/2006/relationships/hyperlink" Target="#MCFPWageInput"/><Relationship Id="rId4" Type="http://schemas.openxmlformats.org/officeDocument/2006/relationships/hyperlink" Target="#HowSell"/><Relationship Id="rId9" Type="http://schemas.openxmlformats.org/officeDocument/2006/relationships/hyperlink" Target="#ACFGainEquipInput"/><Relationship Id="rId13" Type="http://schemas.openxmlformats.org/officeDocument/2006/relationships/hyperlink" Target="#ACFVCDryingInput"/><Relationship Id="rId18" Type="http://schemas.openxmlformats.org/officeDocument/2006/relationships/hyperlink" Target="#ACFVCSeedInput"/><Relationship Id="rId39" Type="http://schemas.openxmlformats.org/officeDocument/2006/relationships/hyperlink" Target="#ACFDMVCShipInput"/><Relationship Id="rId109" Type="http://schemas.openxmlformats.org/officeDocument/2006/relationships/hyperlink" Target="#ACFINVChangeInput"/><Relationship Id="rId34" Type="http://schemas.openxmlformats.org/officeDocument/2006/relationships/hyperlink" Target="#ACFDMOthInput"/><Relationship Id="rId50" Type="http://schemas.openxmlformats.org/officeDocument/2006/relationships/hyperlink" Target="#ACFDMFCMiscInput"/><Relationship Id="rId55" Type="http://schemas.openxmlformats.org/officeDocument/2006/relationships/hyperlink" Target="#ACFPIntInput"/><Relationship Id="rId76" Type="http://schemas.openxmlformats.org/officeDocument/2006/relationships/hyperlink" Target="#ACFPClothingInput"/><Relationship Id="rId97" Type="http://schemas.openxmlformats.org/officeDocument/2006/relationships/hyperlink" Target="#ACFFCMachLeaseInput"/><Relationship Id="rId104" Type="http://schemas.openxmlformats.org/officeDocument/2006/relationships/hyperlink" Target="#ACFCropInsIncInput"/><Relationship Id="rId120" Type="http://schemas.openxmlformats.org/officeDocument/2006/relationships/hyperlink" Target="#ACFVCVetInput"/><Relationship Id="rId125" Type="http://schemas.openxmlformats.org/officeDocument/2006/relationships/hyperlink" Target="#ACFVCCustomHireInput"/><Relationship Id="rId7" Type="http://schemas.openxmlformats.org/officeDocument/2006/relationships/image" Target="../media/image11.png"/><Relationship Id="rId71" Type="http://schemas.openxmlformats.org/officeDocument/2006/relationships/hyperlink" Target="#ACFDMNewCredInput"/><Relationship Id="rId92" Type="http://schemas.openxmlformats.org/officeDocument/2006/relationships/hyperlink" Target="#ACFDMNewDMOpInput"/><Relationship Id="rId2" Type="http://schemas.openxmlformats.org/officeDocument/2006/relationships/hyperlink" Target="#ProjPersonal"/><Relationship Id="rId29" Type="http://schemas.openxmlformats.org/officeDocument/2006/relationships/hyperlink" Target="#ACFPrinInput"/><Relationship Id="rId24" Type="http://schemas.openxmlformats.org/officeDocument/2006/relationships/hyperlink" Target="#ACFFCFarmInsInput"/><Relationship Id="rId40" Type="http://schemas.openxmlformats.org/officeDocument/2006/relationships/hyperlink" Target="#ACFDMVCUtilInput"/><Relationship Id="rId45" Type="http://schemas.openxmlformats.org/officeDocument/2006/relationships/hyperlink" Target="#ACFDMFCRentInput"/><Relationship Id="rId66" Type="http://schemas.openxmlformats.org/officeDocument/2006/relationships/hyperlink" Target="#ACFPIncTaxInput"/><Relationship Id="rId87" Type="http://schemas.openxmlformats.org/officeDocument/2006/relationships/hyperlink" Target="#ACFDMFCIntInput"/><Relationship Id="rId110" Type="http://schemas.openxmlformats.org/officeDocument/2006/relationships/hyperlink" Target="#ACFVCFertilizerInput"/><Relationship Id="rId115" Type="http://schemas.openxmlformats.org/officeDocument/2006/relationships/hyperlink" Target="#ACFVCIrrigationInput"/><Relationship Id="rId131" Type="http://schemas.openxmlformats.org/officeDocument/2006/relationships/hyperlink" Target="#ACFPPersVehPurchInput"/><Relationship Id="rId61" Type="http://schemas.openxmlformats.org/officeDocument/2006/relationships/hyperlink" Target="#ACFPLifeInsInput"/><Relationship Id="rId82" Type="http://schemas.openxmlformats.org/officeDocument/2006/relationships/hyperlink" Target="#ACFPUtilInput"/><Relationship Id="rId19" Type="http://schemas.openxmlformats.org/officeDocument/2006/relationships/hyperlink" Target="#ACFVCTaxesInput"/></Relationships>
</file>

<file path=xl/drawings/_rels/vmlDrawing4.v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12</xdr:col>
      <xdr:colOff>57149</xdr:colOff>
      <xdr:row>1</xdr:row>
      <xdr:rowOff>0</xdr:rowOff>
    </xdr:from>
    <xdr:to>
      <xdr:col>15</xdr:col>
      <xdr:colOff>331469</xdr:colOff>
      <xdr:row>4</xdr:row>
      <xdr:rowOff>78105</xdr:rowOff>
    </xdr:to>
    <xdr:sp macro="[0]!PrintBS_Final" textlink="">
      <xdr:nvSpPr>
        <xdr:cNvPr id="6" name="Rectangle 5">
          <a:hlinkClick xmlns:r="http://schemas.openxmlformats.org/officeDocument/2006/relationships" r:id="rId1" tooltip="Go to Balance Sheet Data Entry"/>
        </xdr:cNvPr>
        <xdr:cNvSpPr/>
      </xdr:nvSpPr>
      <xdr:spPr>
        <a:xfrm>
          <a:off x="6781799" y="161925"/>
          <a:ext cx="2103120" cy="64008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a:t>
          </a:r>
          <a:r>
            <a:rPr lang="en-US" sz="1400" b="1">
              <a:ln>
                <a:noFill/>
              </a:ln>
            </a:rPr>
            <a:t>Balance </a:t>
          </a:r>
        </a:p>
        <a:p>
          <a:pPr algn="ctr"/>
          <a:r>
            <a:rPr lang="en-US" sz="1400" b="1">
              <a:ln>
                <a:noFill/>
              </a:ln>
            </a:rPr>
            <a:t>Sheet Data Entry</a:t>
          </a:r>
        </a:p>
      </xdr:txBody>
    </xdr:sp>
    <xdr:clientData/>
  </xdr:twoCellAnchor>
  <xdr:twoCellAnchor>
    <xdr:from>
      <xdr:col>12</xdr:col>
      <xdr:colOff>57149</xdr:colOff>
      <xdr:row>4</xdr:row>
      <xdr:rowOff>152400</xdr:rowOff>
    </xdr:from>
    <xdr:to>
      <xdr:col>15</xdr:col>
      <xdr:colOff>331469</xdr:colOff>
      <xdr:row>7</xdr:row>
      <xdr:rowOff>192405</xdr:rowOff>
    </xdr:to>
    <xdr:sp macro="[0]!PrintBS_Final" textlink="">
      <xdr:nvSpPr>
        <xdr:cNvPr id="8" name="Rectangle 7">
          <a:hlinkClick xmlns:r="http://schemas.openxmlformats.org/officeDocument/2006/relationships" r:id="rId2" tooltip="Go to Printable Balance Sheet"/>
        </xdr:cNvPr>
        <xdr:cNvSpPr/>
      </xdr:nvSpPr>
      <xdr:spPr>
        <a:xfrm>
          <a:off x="6781799" y="876300"/>
          <a:ext cx="2103120" cy="64008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a:t>
          </a:r>
          <a:r>
            <a:rPr lang="en-US" sz="1400" b="1"/>
            <a:t>Final (Printable)</a:t>
          </a:r>
        </a:p>
        <a:p>
          <a:pPr algn="ctr"/>
          <a:r>
            <a:rPr lang="en-US" sz="1400" b="1"/>
            <a:t>Balance Sheet</a:t>
          </a:r>
        </a:p>
      </xdr:txBody>
    </xdr:sp>
    <xdr:clientData/>
  </xdr:twoCellAnchor>
  <mc:AlternateContent xmlns:mc="http://schemas.openxmlformats.org/markup-compatibility/2006">
    <mc:Choice xmlns:a14="http://schemas.microsoft.com/office/drawing/2010/main" Requires="a14">
      <xdr:twoCellAnchor editAs="oneCell">
        <xdr:from>
          <xdr:col>9</xdr:col>
          <xdr:colOff>276225</xdr:colOff>
          <xdr:row>16</xdr:row>
          <xdr:rowOff>0</xdr:rowOff>
        </xdr:from>
        <xdr:to>
          <xdr:col>11</xdr:col>
          <xdr:colOff>9525</xdr:colOff>
          <xdr:row>17</xdr:row>
          <xdr:rowOff>9525</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9525</xdr:rowOff>
        </xdr:from>
        <xdr:to>
          <xdr:col>11</xdr:col>
          <xdr:colOff>9525</xdr:colOff>
          <xdr:row>19</xdr:row>
          <xdr:rowOff>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absolute">
    <xdr:from>
      <xdr:col>12</xdr:col>
      <xdr:colOff>57149</xdr:colOff>
      <xdr:row>8</xdr:row>
      <xdr:rowOff>57153</xdr:rowOff>
    </xdr:from>
    <xdr:to>
      <xdr:col>15</xdr:col>
      <xdr:colOff>331469</xdr:colOff>
      <xdr:row>11</xdr:row>
      <xdr:rowOff>97158</xdr:rowOff>
    </xdr:to>
    <xdr:sp macro="[0]!PrintBS_Final" textlink="">
      <xdr:nvSpPr>
        <xdr:cNvPr id="9" name="Rectangle 8">
          <a:hlinkClick xmlns:r="http://schemas.openxmlformats.org/officeDocument/2006/relationships" r:id="rId3" tooltip="Go to Income Statement &amp; Cash Flow Plan"/>
        </xdr:cNvPr>
        <xdr:cNvSpPr/>
      </xdr:nvSpPr>
      <xdr:spPr>
        <a:xfrm>
          <a:off x="7283449" y="1547286"/>
          <a:ext cx="2204720" cy="628439"/>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Income Statement &amp;  Cash Flow Plan</a:t>
          </a:r>
          <a:endParaRPr lang="en-US" sz="1400" b="1"/>
        </a:p>
      </xdr:txBody>
    </xdr:sp>
    <xdr:clientData/>
  </xdr:twoCellAnchor>
  <xdr:twoCellAnchor>
    <xdr:from>
      <xdr:col>12</xdr:col>
      <xdr:colOff>57149</xdr:colOff>
      <xdr:row>11</xdr:row>
      <xdr:rowOff>152405</xdr:rowOff>
    </xdr:from>
    <xdr:to>
      <xdr:col>15</xdr:col>
      <xdr:colOff>331469</xdr:colOff>
      <xdr:row>15</xdr:row>
      <xdr:rowOff>30696</xdr:rowOff>
    </xdr:to>
    <xdr:sp macro="[0]!PrintBS_Final" textlink="">
      <xdr:nvSpPr>
        <xdr:cNvPr id="18" name="Rectangle 17">
          <a:hlinkClick xmlns:r="http://schemas.openxmlformats.org/officeDocument/2006/relationships" r:id="rId4" tooltip="Go to Online Help Video"/>
        </xdr:cNvPr>
        <xdr:cNvSpPr/>
      </xdr:nvSpPr>
      <xdr:spPr>
        <a:xfrm>
          <a:off x="6781799" y="2276480"/>
          <a:ext cx="2103120" cy="773641"/>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"Getting Started" help video </a:t>
          </a:r>
        </a:p>
        <a:p>
          <a:pPr algn="ctr"/>
          <a:r>
            <a:rPr lang="en-US" sz="1400" b="1" baseline="0"/>
            <a:t>(opens browser)</a:t>
          </a:r>
          <a:endParaRPr lang="en-US" sz="1400" b="1"/>
        </a:p>
      </xdr:txBody>
    </xdr:sp>
    <xdr:clientData/>
  </xdr:twoCellAnchor>
  <xdr:twoCellAnchor editAs="oneCell">
    <xdr:from>
      <xdr:col>0</xdr:col>
      <xdr:colOff>0</xdr:colOff>
      <xdr:row>4</xdr:row>
      <xdr:rowOff>140797</xdr:rowOff>
    </xdr:from>
    <xdr:to>
      <xdr:col>5</xdr:col>
      <xdr:colOff>104774</xdr:colOff>
      <xdr:row>9</xdr:row>
      <xdr:rowOff>30652</xdr:rowOff>
    </xdr:to>
    <xdr:pic>
      <xdr:nvPicPr>
        <xdr:cNvPr id="11" name="Picture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864697"/>
          <a:ext cx="2619374" cy="889980"/>
        </a:xfrm>
        <a:prstGeom prst="rect">
          <a:avLst/>
        </a:prstGeom>
      </xdr:spPr>
    </xdr:pic>
    <xdr:clientData/>
  </xdr:twoCellAnchor>
  <xdr:twoCellAnchor editAs="oneCell">
    <xdr:from>
      <xdr:col>0</xdr:col>
      <xdr:colOff>95251</xdr:colOff>
      <xdr:row>25</xdr:row>
      <xdr:rowOff>152400</xdr:rowOff>
    </xdr:from>
    <xdr:to>
      <xdr:col>4</xdr:col>
      <xdr:colOff>404453</xdr:colOff>
      <xdr:row>30</xdr:row>
      <xdr:rowOff>147447</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1" y="5600700"/>
          <a:ext cx="2376127" cy="804672"/>
        </a:xfrm>
        <a:prstGeom prst="rect">
          <a:avLst/>
        </a:prstGeom>
      </xdr:spPr>
    </xdr:pic>
    <xdr:clientData/>
  </xdr:twoCellAnchor>
  <xdr:twoCellAnchor>
    <xdr:from>
      <xdr:col>12</xdr:col>
      <xdr:colOff>46566</xdr:colOff>
      <xdr:row>18</xdr:row>
      <xdr:rowOff>86782</xdr:rowOff>
    </xdr:from>
    <xdr:to>
      <xdr:col>15</xdr:col>
      <xdr:colOff>320886</xdr:colOff>
      <xdr:row>21</xdr:row>
      <xdr:rowOff>62228</xdr:rowOff>
    </xdr:to>
    <xdr:sp macro="[0]!PrintBS_Final" textlink="">
      <xdr:nvSpPr>
        <xdr:cNvPr id="15" name="Rectangle 14">
          <a:hlinkClick xmlns:r="http://schemas.openxmlformats.org/officeDocument/2006/relationships" r:id="rId7" tooltip="Go to the Financial Scorecard"/>
        </xdr:cNvPr>
        <xdr:cNvSpPr/>
      </xdr:nvSpPr>
      <xdr:spPr>
        <a:xfrm>
          <a:off x="6771216" y="3763432"/>
          <a:ext cx="2103120" cy="632671"/>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w="6350">
                <a:noFill/>
              </a:ln>
              <a:solidFill>
                <a:schemeClr val="bg1"/>
              </a:solidFill>
            </a:rPr>
            <a:t>Go</a:t>
          </a:r>
          <a:r>
            <a:rPr lang="en-US" sz="1400" b="1" baseline="0">
              <a:ln w="6350">
                <a:noFill/>
              </a:ln>
              <a:solidFill>
                <a:schemeClr val="bg1"/>
              </a:solidFill>
            </a:rPr>
            <a:t> to Financial Scorecard</a:t>
          </a:r>
          <a:endParaRPr lang="en-US" sz="1400" b="1">
            <a:ln w="6350">
              <a:noFill/>
            </a:ln>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276225</xdr:colOff>
          <xdr:row>13</xdr:row>
          <xdr:rowOff>190500</xdr:rowOff>
        </xdr:from>
        <xdr:to>
          <xdr:col>11</xdr:col>
          <xdr:colOff>9525</xdr:colOff>
          <xdr:row>15</xdr:row>
          <xdr:rowOff>0</xdr:rowOff>
        </xdr:to>
        <xdr:sp macro="" textlink="">
          <xdr:nvSpPr>
            <xdr:cNvPr id="1031" name="NumbOperatorsDropDown"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12</xdr:col>
      <xdr:colOff>57149</xdr:colOff>
      <xdr:row>15</xdr:row>
      <xdr:rowOff>66677</xdr:rowOff>
    </xdr:from>
    <xdr:to>
      <xdr:col>15</xdr:col>
      <xdr:colOff>331469</xdr:colOff>
      <xdr:row>18</xdr:row>
      <xdr:rowOff>45299</xdr:rowOff>
    </xdr:to>
    <xdr:sp macro="[0]!PrintBS_Final" textlink="">
      <xdr:nvSpPr>
        <xdr:cNvPr id="14" name="Rectangle 13">
          <a:hlinkClick xmlns:r="http://schemas.openxmlformats.org/officeDocument/2006/relationships" r:id="rId8" tooltip="Go to the Financial Scorecard"/>
        </xdr:cNvPr>
        <xdr:cNvSpPr/>
      </xdr:nvSpPr>
      <xdr:spPr>
        <a:xfrm>
          <a:off x="6781799" y="3086102"/>
          <a:ext cx="2103120" cy="635847"/>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xdr:twoCellAnchor>
  <xdr:twoCellAnchor editAs="oneCell">
    <xdr:from>
      <xdr:col>10</xdr:col>
      <xdr:colOff>171450</xdr:colOff>
      <xdr:row>25</xdr:row>
      <xdr:rowOff>152400</xdr:rowOff>
    </xdr:from>
    <xdr:to>
      <xdr:col>16</xdr:col>
      <xdr:colOff>447675</xdr:colOff>
      <xdr:row>30</xdr:row>
      <xdr:rowOff>136043</xdr:rowOff>
    </xdr:to>
    <xdr:pic>
      <xdr:nvPicPr>
        <xdr:cNvPr id="4" name="Picture 3"/>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76775" y="5600700"/>
          <a:ext cx="4933950" cy="793268"/>
        </a:xfrm>
        <a:prstGeom prst="rect">
          <a:avLst/>
        </a:prstGeom>
      </xdr:spPr>
    </xdr:pic>
    <xdr:clientData/>
  </xdr:twoCellAnchor>
  <xdr:twoCellAnchor editAs="oneCell">
    <xdr:from>
      <xdr:col>5</xdr:col>
      <xdr:colOff>57150</xdr:colOff>
      <xdr:row>25</xdr:row>
      <xdr:rowOff>152400</xdr:rowOff>
    </xdr:from>
    <xdr:to>
      <xdr:col>10</xdr:col>
      <xdr:colOff>104775</xdr:colOff>
      <xdr:row>31</xdr:row>
      <xdr:rowOff>19050</xdr:rowOff>
    </xdr:to>
    <xdr:pic>
      <xdr:nvPicPr>
        <xdr:cNvPr id="16" name="Picture 15" descr="usda_nifa_c_rgb_72"/>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71750" y="5600700"/>
          <a:ext cx="20383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8</xdr:col>
      <xdr:colOff>399500</xdr:colOff>
      <xdr:row>2</xdr:row>
      <xdr:rowOff>23282</xdr:rowOff>
    </xdr:from>
    <xdr:to>
      <xdr:col>10</xdr:col>
      <xdr:colOff>549791</xdr:colOff>
      <xdr:row>3</xdr:row>
      <xdr:rowOff>257597</xdr:rowOff>
    </xdr:to>
    <xdr:sp macro="[0]!PrintBS_Final" textlink="">
      <xdr:nvSpPr>
        <xdr:cNvPr id="3" name="Rectangle 2">
          <a:hlinkClick xmlns:r="http://schemas.openxmlformats.org/officeDocument/2006/relationships" r:id="rId1" tooltip="Go to General Info"/>
        </xdr:cNvPr>
        <xdr:cNvSpPr/>
      </xdr:nvSpPr>
      <xdr:spPr>
        <a:xfrm>
          <a:off x="7143200" y="649815"/>
          <a:ext cx="1437224" cy="547582"/>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absolute">
    <xdr:from>
      <xdr:col>1</xdr:col>
      <xdr:colOff>4755</xdr:colOff>
      <xdr:row>2</xdr:row>
      <xdr:rowOff>38101</xdr:rowOff>
    </xdr:from>
    <xdr:to>
      <xdr:col>2</xdr:col>
      <xdr:colOff>735279</xdr:colOff>
      <xdr:row>3</xdr:row>
      <xdr:rowOff>272416</xdr:rowOff>
    </xdr:to>
    <xdr:sp macro="[0]!PrintBS_Final" textlink="">
      <xdr:nvSpPr>
        <xdr:cNvPr id="4" name="Rectangle 3">
          <a:hlinkClick xmlns:r="http://schemas.openxmlformats.org/officeDocument/2006/relationships" r:id="rId2" tooltip="Go to Business Cash Flow Data Entry"/>
        </xdr:cNvPr>
        <xdr:cNvSpPr/>
      </xdr:nvSpPr>
      <xdr:spPr>
        <a:xfrm>
          <a:off x="204780" y="666751"/>
          <a:ext cx="2139696"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 to Business</a:t>
          </a:r>
        </a:p>
        <a:p>
          <a:pPr algn="ctr"/>
          <a:r>
            <a:rPr lang="en-US" sz="1400" b="1"/>
            <a:t>Cash Flow Entry</a:t>
          </a:r>
        </a:p>
      </xdr:txBody>
    </xdr:sp>
    <xdr:clientData fPrintsWithSheet="0"/>
  </xdr:twoCellAnchor>
  <xdr:twoCellAnchor editAs="absolute">
    <xdr:from>
      <xdr:col>2</xdr:col>
      <xdr:colOff>810144</xdr:colOff>
      <xdr:row>2</xdr:row>
      <xdr:rowOff>38101</xdr:rowOff>
    </xdr:from>
    <xdr:to>
      <xdr:col>5</xdr:col>
      <xdr:colOff>1854</xdr:colOff>
      <xdr:row>3</xdr:row>
      <xdr:rowOff>272416</xdr:rowOff>
    </xdr:to>
    <xdr:sp macro="[0]!PrintBS_Final" textlink="">
      <xdr:nvSpPr>
        <xdr:cNvPr id="5" name="Rectangle 4">
          <a:hlinkClick xmlns:r="http://schemas.openxmlformats.org/officeDocument/2006/relationships" r:id="rId3" tooltip="Go to Direct Marketing Cash Flow Entry"/>
        </xdr:cNvPr>
        <xdr:cNvSpPr/>
      </xdr:nvSpPr>
      <xdr:spPr>
        <a:xfrm>
          <a:off x="2419341" y="666751"/>
          <a:ext cx="2268284"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solidFill>
                <a:schemeClr val="lt1"/>
              </a:solidFill>
              <a:effectLst/>
              <a:latin typeface="+mn-lt"/>
              <a:ea typeface="+mn-ea"/>
              <a:cs typeface="+mn-cs"/>
            </a:rPr>
            <a:t>Go to Direct Marketing Cash Flow Entry</a:t>
          </a:r>
          <a:endParaRPr lang="en-US" sz="1800">
            <a:effectLst/>
          </a:endParaRPr>
        </a:p>
      </xdr:txBody>
    </xdr:sp>
    <xdr:clientData fPrintsWithSheet="0"/>
  </xdr:twoCellAnchor>
  <xdr:twoCellAnchor editAs="absolute">
    <xdr:from>
      <xdr:col>5</xdr:col>
      <xdr:colOff>47629</xdr:colOff>
      <xdr:row>2</xdr:row>
      <xdr:rowOff>38101</xdr:rowOff>
    </xdr:from>
    <xdr:to>
      <xdr:col>8</xdr:col>
      <xdr:colOff>168025</xdr:colOff>
      <xdr:row>3</xdr:row>
      <xdr:rowOff>272416</xdr:rowOff>
    </xdr:to>
    <xdr:sp macro="[0]!PrintBS_Final" textlink="">
      <xdr:nvSpPr>
        <xdr:cNvPr id="6" name="Rectangle 5">
          <a:hlinkClick xmlns:r="http://schemas.openxmlformats.org/officeDocument/2006/relationships" r:id="rId4" tooltip="Go to Personal Cash Flow Entry"/>
        </xdr:cNvPr>
        <xdr:cNvSpPr/>
      </xdr:nvSpPr>
      <xdr:spPr>
        <a:xfrm>
          <a:off x="4748217" y="666751"/>
          <a:ext cx="2139696"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solidFill>
                <a:schemeClr val="lt1"/>
              </a:solidFill>
              <a:effectLst/>
              <a:latin typeface="+mn-lt"/>
              <a:ea typeface="+mn-ea"/>
              <a:cs typeface="+mn-cs"/>
            </a:rPr>
            <a:t>Go to Personal</a:t>
          </a:r>
        </a:p>
        <a:p>
          <a:pPr algn="ctr"/>
          <a:r>
            <a:rPr lang="en-US" sz="1400" b="1">
              <a:solidFill>
                <a:schemeClr val="lt1"/>
              </a:solidFill>
              <a:effectLst/>
              <a:latin typeface="+mn-lt"/>
              <a:ea typeface="+mn-ea"/>
              <a:cs typeface="+mn-cs"/>
            </a:rPr>
            <a:t>Cash Flow Entry</a:t>
          </a:r>
          <a:endParaRPr lang="en-US" sz="1800">
            <a:effectLst/>
          </a:endParaRPr>
        </a:p>
      </xdr:txBody>
    </xdr:sp>
    <xdr:clientData fPrintsWithSheet="0"/>
  </xdr:twoCellAnchor>
  <xdr:twoCellAnchor editAs="absolute">
    <xdr:from>
      <xdr:col>2</xdr:col>
      <xdr:colOff>8453</xdr:colOff>
      <xdr:row>0</xdr:row>
      <xdr:rowOff>40217</xdr:rowOff>
    </xdr:from>
    <xdr:to>
      <xdr:col>3</xdr:col>
      <xdr:colOff>1190624</xdr:colOff>
      <xdr:row>1</xdr:row>
      <xdr:rowOff>274532</xdr:rowOff>
    </xdr:to>
    <xdr:sp macro="[0]!PrintBS_Final" textlink="">
      <xdr:nvSpPr>
        <xdr:cNvPr id="9" name="Rectangle 8">
          <a:hlinkClick xmlns:r="http://schemas.openxmlformats.org/officeDocument/2006/relationships" r:id="rId5" tooltip="Go to Income Statement &amp; Cash Flow Plan"/>
        </xdr:cNvPr>
        <xdr:cNvSpPr/>
      </xdr:nvSpPr>
      <xdr:spPr>
        <a:xfrm>
          <a:off x="1769520" y="40217"/>
          <a:ext cx="2210871" cy="547582"/>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6. Go</a:t>
          </a:r>
          <a:r>
            <a:rPr lang="en-US" sz="1400" b="1" baseline="0"/>
            <a:t> to </a:t>
          </a:r>
          <a:r>
            <a:rPr lang="en-US" sz="1400" b="1"/>
            <a:t>Cash Flow Plan</a:t>
          </a:r>
        </a:p>
      </xdr:txBody>
    </xdr:sp>
    <xdr:clientData fPrintsWithSheet="0"/>
  </xdr:twoCellAnchor>
  <xdr:twoCellAnchor>
    <xdr:from>
      <xdr:col>12</xdr:col>
      <xdr:colOff>628650</xdr:colOff>
      <xdr:row>0</xdr:row>
      <xdr:rowOff>123825</xdr:rowOff>
    </xdr:from>
    <xdr:to>
      <xdr:col>27</xdr:col>
      <xdr:colOff>862013</xdr:colOff>
      <xdr:row>1</xdr:row>
      <xdr:rowOff>233363</xdr:rowOff>
    </xdr:to>
    <xdr:sp macro="" textlink="">
      <xdr:nvSpPr>
        <xdr:cNvPr id="10" name="Rectangle 9"/>
        <xdr:cNvSpPr/>
      </xdr:nvSpPr>
      <xdr:spPr>
        <a:xfrm>
          <a:off x="9377363" y="123825"/>
          <a:ext cx="1790700" cy="423863"/>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3</xdr:col>
      <xdr:colOff>1214966</xdr:colOff>
      <xdr:row>0</xdr:row>
      <xdr:rowOff>40217</xdr:rowOff>
    </xdr:from>
    <xdr:to>
      <xdr:col>7</xdr:col>
      <xdr:colOff>115371</xdr:colOff>
      <xdr:row>1</xdr:row>
      <xdr:rowOff>274532</xdr:rowOff>
    </xdr:to>
    <xdr:sp macro="[0]!PrintBS_Final" textlink="">
      <xdr:nvSpPr>
        <xdr:cNvPr id="8" name="Rectangle 7">
          <a:hlinkClick xmlns:r="http://schemas.openxmlformats.org/officeDocument/2006/relationships" r:id="rId6" tooltip="Go to Projected Inventory"/>
        </xdr:cNvPr>
        <xdr:cNvSpPr/>
      </xdr:nvSpPr>
      <xdr:spPr>
        <a:xfrm>
          <a:off x="4004733" y="40217"/>
          <a:ext cx="2210871" cy="547582"/>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8. Go</a:t>
          </a:r>
          <a:r>
            <a:rPr lang="en-US" sz="1400" b="1" baseline="0"/>
            <a:t> to </a:t>
          </a:r>
          <a:r>
            <a:rPr lang="en-US" sz="1400" b="1"/>
            <a:t>Projected Inventory</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3129643</xdr:colOff>
      <xdr:row>3</xdr:row>
      <xdr:rowOff>245583</xdr:rowOff>
    </xdr:from>
    <xdr:to>
      <xdr:col>0</xdr:col>
      <xdr:colOff>3312523</xdr:colOff>
      <xdr:row>4</xdr:row>
      <xdr:rowOff>180813</xdr:rowOff>
    </xdr:to>
    <xdr:pic>
      <xdr:nvPicPr>
        <xdr:cNvPr id="2" name="Picture 1">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883758"/>
          <a:ext cx="182880" cy="182880"/>
        </a:xfrm>
        <a:prstGeom prst="rect">
          <a:avLst/>
        </a:prstGeom>
      </xdr:spPr>
    </xdr:pic>
    <xdr:clientData fPrintsWithSheet="0"/>
  </xdr:twoCellAnchor>
  <xdr:twoCellAnchor editAs="oneCell">
    <xdr:from>
      <xdr:col>0</xdr:col>
      <xdr:colOff>67206</xdr:colOff>
      <xdr:row>1</xdr:row>
      <xdr:rowOff>18860</xdr:rowOff>
    </xdr:from>
    <xdr:to>
      <xdr:col>0</xdr:col>
      <xdr:colOff>1502687</xdr:colOff>
      <xdr:row>3</xdr:row>
      <xdr:rowOff>186500</xdr:rowOff>
    </xdr:to>
    <xdr:sp macro="[0]!PrintBS_Final" textlink="">
      <xdr:nvSpPr>
        <xdr:cNvPr id="3" name="Rectangle 2">
          <a:hlinkClick xmlns:r="http://schemas.openxmlformats.org/officeDocument/2006/relationships" r:id="rId3" tooltip="Go to General Info"/>
        </xdr:cNvPr>
        <xdr:cNvSpPr/>
      </xdr:nvSpPr>
      <xdr:spPr>
        <a:xfrm>
          <a:off x="67206" y="276035"/>
          <a:ext cx="1435481"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1547813</xdr:colOff>
      <xdr:row>1</xdr:row>
      <xdr:rowOff>18860</xdr:rowOff>
    </xdr:from>
    <xdr:to>
      <xdr:col>0</xdr:col>
      <xdr:colOff>3038285</xdr:colOff>
      <xdr:row>3</xdr:row>
      <xdr:rowOff>186500</xdr:rowOff>
    </xdr:to>
    <xdr:sp macro="[0]!PrintBS_Final" textlink="">
      <xdr:nvSpPr>
        <xdr:cNvPr id="11" name="Rectangle 10">
          <a:hlinkClick xmlns:r="http://schemas.openxmlformats.org/officeDocument/2006/relationships" r:id="rId4" tooltip="Go to Income Statement &amp; Cash Flow Plan"/>
        </xdr:cNvPr>
        <xdr:cNvSpPr/>
      </xdr:nvSpPr>
      <xdr:spPr>
        <a:xfrm>
          <a:off x="1547813" y="272860"/>
          <a:ext cx="1490472" cy="548640"/>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6. Go</a:t>
          </a:r>
          <a:r>
            <a:rPr lang="en-US" sz="1400" b="1" baseline="0"/>
            <a:t> to </a:t>
          </a:r>
          <a:r>
            <a:rPr lang="en-US" sz="1400" b="1"/>
            <a:t>Cash Flow Entry</a:t>
          </a:r>
        </a:p>
      </xdr:txBody>
    </xdr:sp>
    <xdr:clientData/>
  </xdr:twoCellAnchor>
  <xdr:twoCellAnchor editAs="oneCell">
    <xdr:from>
      <xdr:col>3</xdr:col>
      <xdr:colOff>163510</xdr:colOff>
      <xdr:row>1</xdr:row>
      <xdr:rowOff>18860</xdr:rowOff>
    </xdr:from>
    <xdr:to>
      <xdr:col>4</xdr:col>
      <xdr:colOff>414863</xdr:colOff>
      <xdr:row>3</xdr:row>
      <xdr:rowOff>186500</xdr:rowOff>
    </xdr:to>
    <xdr:sp macro="" textlink="">
      <xdr:nvSpPr>
        <xdr:cNvPr id="12" name="Rectangle 11">
          <a:hlinkClick xmlns:r="http://schemas.openxmlformats.org/officeDocument/2006/relationships" r:id="rId5" tooltip="Click to go to the final cash flow plan to print the summarized cash flow plan."/>
        </xdr:cNvPr>
        <xdr:cNvSpPr/>
      </xdr:nvSpPr>
      <xdr:spPr>
        <a:xfrm>
          <a:off x="4497385" y="276035"/>
          <a:ext cx="1365777"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9. Go to Final </a:t>
          </a:r>
          <a:r>
            <a:rPr lang="en-US" sz="1400" b="1" baseline="0"/>
            <a:t>Cash Flow Plan</a:t>
          </a:r>
          <a:endParaRPr lang="en-US" sz="1400" b="1"/>
        </a:p>
      </xdr:txBody>
    </xdr:sp>
    <xdr:clientData fPrintsWithSheet="0"/>
  </xdr:twoCellAnchor>
  <xdr:twoCellAnchor editAs="oneCell">
    <xdr:from>
      <xdr:col>0</xdr:col>
      <xdr:colOff>3129643</xdr:colOff>
      <xdr:row>15</xdr:row>
      <xdr:rowOff>0</xdr:rowOff>
    </xdr:from>
    <xdr:to>
      <xdr:col>0</xdr:col>
      <xdr:colOff>3312523</xdr:colOff>
      <xdr:row>15</xdr:row>
      <xdr:rowOff>182880</xdr:rowOff>
    </xdr:to>
    <xdr:pic>
      <xdr:nvPicPr>
        <xdr:cNvPr id="13" name="Picture 12">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867025"/>
          <a:ext cx="182880" cy="182880"/>
        </a:xfrm>
        <a:prstGeom prst="rect">
          <a:avLst/>
        </a:prstGeom>
      </xdr:spPr>
    </xdr:pic>
    <xdr:clientData fPrintsWithSheet="0"/>
  </xdr:twoCellAnchor>
  <xdr:twoCellAnchor editAs="oneCell">
    <xdr:from>
      <xdr:col>0</xdr:col>
      <xdr:colOff>3129643</xdr:colOff>
      <xdr:row>26</xdr:row>
      <xdr:rowOff>0</xdr:rowOff>
    </xdr:from>
    <xdr:to>
      <xdr:col>0</xdr:col>
      <xdr:colOff>3312523</xdr:colOff>
      <xdr:row>26</xdr:row>
      <xdr:rowOff>182880</xdr:rowOff>
    </xdr:to>
    <xdr:pic>
      <xdr:nvPicPr>
        <xdr:cNvPr id="14" name="Picture 13">
          <a:hlinkClick xmlns:r="http://schemas.openxmlformats.org/officeDocument/2006/relationships" r:id="rId6"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4686300"/>
          <a:ext cx="182880" cy="182880"/>
        </a:xfrm>
        <a:prstGeom prst="rect">
          <a:avLst/>
        </a:prstGeom>
      </xdr:spPr>
    </xdr:pic>
    <xdr:clientData fPrintsWithSheet="0"/>
  </xdr:twoCellAnchor>
  <xdr:twoCellAnchor editAs="absolute">
    <xdr:from>
      <xdr:col>0</xdr:col>
      <xdr:colOff>3073403</xdr:colOff>
      <xdr:row>1</xdr:row>
      <xdr:rowOff>18860</xdr:rowOff>
    </xdr:from>
    <xdr:to>
      <xdr:col>3</xdr:col>
      <xdr:colOff>1061</xdr:colOff>
      <xdr:row>3</xdr:row>
      <xdr:rowOff>185442</xdr:rowOff>
    </xdr:to>
    <xdr:sp macro="[0]!PrintBS_Final" textlink="">
      <xdr:nvSpPr>
        <xdr:cNvPr id="8" name="Rectangle 7">
          <a:hlinkClick xmlns:r="http://schemas.openxmlformats.org/officeDocument/2006/relationships" r:id="rId7" tooltip="Go to Proposed Loans"/>
        </xdr:cNvPr>
        <xdr:cNvSpPr/>
      </xdr:nvSpPr>
      <xdr:spPr>
        <a:xfrm>
          <a:off x="3073403" y="276035"/>
          <a:ext cx="1371600" cy="547582"/>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Proposed Loans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28577</xdr:colOff>
      <xdr:row>9</xdr:row>
      <xdr:rowOff>24529</xdr:rowOff>
    </xdr:from>
    <xdr:to>
      <xdr:col>1</xdr:col>
      <xdr:colOff>479274</xdr:colOff>
      <xdr:row>15</xdr:row>
      <xdr:rowOff>148354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7" y="491254"/>
          <a:ext cx="450697" cy="457200"/>
        </a:xfrm>
        <a:prstGeom prst="rect">
          <a:avLst/>
        </a:prstGeom>
      </xdr:spPr>
    </xdr:pic>
    <xdr:clientData/>
  </xdr:twoCellAnchor>
  <xdr:twoCellAnchor editAs="oneCell">
    <xdr:from>
      <xdr:col>3</xdr:col>
      <xdr:colOff>866775</xdr:colOff>
      <xdr:row>166</xdr:row>
      <xdr:rowOff>648</xdr:rowOff>
    </xdr:from>
    <xdr:to>
      <xdr:col>4</xdr:col>
      <xdr:colOff>1905</xdr:colOff>
      <xdr:row>166</xdr:row>
      <xdr:rowOff>183528</xdr:rowOff>
    </xdr:to>
    <xdr:pic>
      <xdr:nvPicPr>
        <xdr:cNvPr id="3" name="Picture 2">
          <a:hlinkClick xmlns:r="http://schemas.openxmlformats.org/officeDocument/2006/relationships" r:id="rId2" tooltip="Go back to General Info to change how you sell your produc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49975" y="22094415"/>
          <a:ext cx="182880" cy="182880"/>
        </a:xfrm>
        <a:prstGeom prst="rect">
          <a:avLst/>
        </a:prstGeom>
      </xdr:spPr>
    </xdr:pic>
    <xdr:clientData fPrintsWithSheet="0"/>
  </xdr:twoCellAnchor>
  <xdr:twoCellAnchor editAs="oneCell">
    <xdr:from>
      <xdr:col>1</xdr:col>
      <xdr:colOff>3565624</xdr:colOff>
      <xdr:row>105</xdr:row>
      <xdr:rowOff>22412</xdr:rowOff>
    </xdr:from>
    <xdr:to>
      <xdr:col>1</xdr:col>
      <xdr:colOff>3748504</xdr:colOff>
      <xdr:row>106</xdr:row>
      <xdr:rowOff>14792</xdr:rowOff>
    </xdr:to>
    <xdr:pic>
      <xdr:nvPicPr>
        <xdr:cNvPr id="9" name="Picture 8">
          <a:hlinkClick xmlns:r="http://schemas.openxmlformats.org/officeDocument/2006/relationships" r:id="rId4" tooltip="Go back to General Info to change how you sell your produc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5624" y="13221945"/>
          <a:ext cx="182880" cy="182880"/>
        </a:xfrm>
        <a:prstGeom prst="rect">
          <a:avLst/>
        </a:prstGeom>
      </xdr:spPr>
    </xdr:pic>
    <xdr:clientData fPrintsWithSheet="0"/>
  </xdr:twoCellAnchor>
  <xdr:twoCellAnchor editAs="oneCell">
    <xdr:from>
      <xdr:col>5</xdr:col>
      <xdr:colOff>312747</xdr:colOff>
      <xdr:row>10</xdr:row>
      <xdr:rowOff>52454</xdr:rowOff>
    </xdr:from>
    <xdr:to>
      <xdr:col>12</xdr:col>
      <xdr:colOff>320367</xdr:colOff>
      <xdr:row>32</xdr:row>
      <xdr:rowOff>57150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4</xdr:col>
      <xdr:colOff>549275</xdr:colOff>
      <xdr:row>100</xdr:row>
      <xdr:rowOff>23906</xdr:rowOff>
    </xdr:from>
    <xdr:to>
      <xdr:col>11</xdr:col>
      <xdr:colOff>537845</xdr:colOff>
      <xdr:row>116</xdr:row>
      <xdr:rowOff>78442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xdr:col>
      <xdr:colOff>549275</xdr:colOff>
      <xdr:row>118</xdr:row>
      <xdr:rowOff>48683</xdr:rowOff>
    </xdr:from>
    <xdr:to>
      <xdr:col>11</xdr:col>
      <xdr:colOff>537845</xdr:colOff>
      <xdr:row>149</xdr:row>
      <xdr:rowOff>105833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158759</xdr:colOff>
          <xdr:row>16</xdr:row>
          <xdr:rowOff>158749</xdr:rowOff>
        </xdr:from>
        <xdr:to>
          <xdr:col>4</xdr:col>
          <xdr:colOff>323351</xdr:colOff>
          <xdr:row>18</xdr:row>
          <xdr:rowOff>4253</xdr:rowOff>
        </xdr:to>
        <xdr:pic>
          <xdr:nvPicPr>
            <xdr:cNvPr id="14" name="Picture 13">
              <a:hlinkClick xmlns:r="http://schemas.openxmlformats.org/officeDocument/2006/relationships" r:id="rId8" tooltip="Go to monthly input"/>
            </xdr:cNvPr>
            <xdr:cNvPicPr>
              <a:picLocks noChangeAspect="1"/>
              <a:extLst>
                <a:ext uri="{84589F7E-364E-4C9E-8A38-B11213B215E9}">
                  <a14:cameraTool cellRange="Picture" spid="_x0000_s14998"/>
                </a:ext>
              </a:extLst>
            </xdr:cNvPicPr>
          </xdr:nvPicPr>
          <xdr:blipFill>
            <a:blip xmlns:r="http://schemas.openxmlformats.org/officeDocument/2006/relationships" r:embed="rId9"/>
            <a:stretch>
              <a:fillRect/>
            </a:stretch>
          </xdr:blipFill>
          <xdr:spPr>
            <a:xfrm>
              <a:off x="6530984" y="133984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28</xdr:row>
          <xdr:rowOff>0</xdr:rowOff>
        </xdr:from>
        <xdr:to>
          <xdr:col>4</xdr:col>
          <xdr:colOff>323351</xdr:colOff>
          <xdr:row>29</xdr:row>
          <xdr:rowOff>12192</xdr:rowOff>
        </xdr:to>
        <xdr:pic>
          <xdr:nvPicPr>
            <xdr:cNvPr id="15" name="Picture 14">
              <a:hlinkClick xmlns:r="http://schemas.openxmlformats.org/officeDocument/2006/relationships" r:id="rId10" tooltip="Go to monthly input"/>
            </xdr:cNvPr>
            <xdr:cNvPicPr>
              <a:picLocks noChangeAspect="1"/>
              <a:extLst>
                <a:ext uri="{84589F7E-364E-4C9E-8A38-B11213B215E9}">
                  <a14:cameraTool cellRange="Picture" spid="_x0000_s14999"/>
                </a:ext>
              </a:extLst>
            </xdr:cNvPicPr>
          </xdr:nvPicPr>
          <xdr:blipFill>
            <a:blip xmlns:r="http://schemas.openxmlformats.org/officeDocument/2006/relationships" r:embed="rId9"/>
            <a:stretch>
              <a:fillRect/>
            </a:stretch>
          </xdr:blipFill>
          <xdr:spPr>
            <a:xfrm>
              <a:off x="6530984" y="30241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xdr:row>
          <xdr:rowOff>158749</xdr:rowOff>
        </xdr:from>
        <xdr:to>
          <xdr:col>4</xdr:col>
          <xdr:colOff>323351</xdr:colOff>
          <xdr:row>19</xdr:row>
          <xdr:rowOff>17484</xdr:rowOff>
        </xdr:to>
        <xdr:pic>
          <xdr:nvPicPr>
            <xdr:cNvPr id="16" name="Picture 15">
              <a:hlinkClick xmlns:r="http://schemas.openxmlformats.org/officeDocument/2006/relationships" r:id="rId11" tooltip="Go to monthly input"/>
            </xdr:cNvPr>
            <xdr:cNvPicPr>
              <a:picLocks noChangeAspect="1"/>
              <a:extLst>
                <a:ext uri="{84589F7E-364E-4C9E-8A38-B11213B215E9}">
                  <a14:cameraTool cellRange="Picture" spid="_x0000_s15000"/>
                </a:ext>
              </a:extLst>
            </xdr:cNvPicPr>
          </xdr:nvPicPr>
          <xdr:blipFill>
            <a:blip xmlns:r="http://schemas.openxmlformats.org/officeDocument/2006/relationships" r:embed="rId9"/>
            <a:stretch>
              <a:fillRect/>
            </a:stretch>
          </xdr:blipFill>
          <xdr:spPr>
            <a:xfrm>
              <a:off x="6103947" y="244474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158749</xdr:rowOff>
        </xdr:from>
        <xdr:to>
          <xdr:col>4</xdr:col>
          <xdr:colOff>323351</xdr:colOff>
          <xdr:row>20</xdr:row>
          <xdr:rowOff>17483</xdr:rowOff>
        </xdr:to>
        <xdr:pic>
          <xdr:nvPicPr>
            <xdr:cNvPr id="17" name="Picture 16">
              <a:hlinkClick xmlns:r="http://schemas.openxmlformats.org/officeDocument/2006/relationships" r:id="rId12" tooltip="Go to monthly input"/>
            </xdr:cNvPr>
            <xdr:cNvPicPr>
              <a:picLocks noChangeAspect="1"/>
              <a:extLst>
                <a:ext uri="{84589F7E-364E-4C9E-8A38-B11213B215E9}">
                  <a14:cameraTool cellRange="Picture" spid="_x0000_s15001"/>
                </a:ext>
              </a:extLst>
            </xdr:cNvPicPr>
          </xdr:nvPicPr>
          <xdr:blipFill>
            <a:blip xmlns:r="http://schemas.openxmlformats.org/officeDocument/2006/relationships" r:embed="rId9"/>
            <a:stretch>
              <a:fillRect/>
            </a:stretch>
          </xdr:blipFill>
          <xdr:spPr>
            <a:xfrm>
              <a:off x="6103947" y="2603499"/>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1586</xdr:rowOff>
        </xdr:from>
        <xdr:to>
          <xdr:col>4</xdr:col>
          <xdr:colOff>323351</xdr:colOff>
          <xdr:row>19</xdr:row>
          <xdr:rowOff>13778</xdr:rowOff>
        </xdr:to>
        <xdr:pic>
          <xdr:nvPicPr>
            <xdr:cNvPr id="18" name="Picture 17">
              <a:hlinkClick xmlns:r="http://schemas.openxmlformats.org/officeDocument/2006/relationships" r:id="rId13" tooltip="Go to monthly input"/>
            </xdr:cNvPr>
            <xdr:cNvPicPr>
              <a:picLocks noChangeAspect="1"/>
              <a:extLst>
                <a:ext uri="{84589F7E-364E-4C9E-8A38-B11213B215E9}">
                  <a14:cameraTool cellRange="Picture" spid="_x0000_s15002"/>
                </a:ext>
              </a:extLst>
            </xdr:cNvPicPr>
          </xdr:nvPicPr>
          <xdr:blipFill>
            <a:blip xmlns:r="http://schemas.openxmlformats.org/officeDocument/2006/relationships" r:embed="rId9"/>
            <a:stretch>
              <a:fillRect/>
            </a:stretch>
          </xdr:blipFill>
          <xdr:spPr>
            <a:xfrm>
              <a:off x="6530984" y="1501774"/>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xdr:row>
          <xdr:rowOff>149224</xdr:rowOff>
        </xdr:from>
        <xdr:to>
          <xdr:col>4</xdr:col>
          <xdr:colOff>323351</xdr:colOff>
          <xdr:row>20</xdr:row>
          <xdr:rowOff>9016</xdr:rowOff>
        </xdr:to>
        <xdr:pic>
          <xdr:nvPicPr>
            <xdr:cNvPr id="19" name="Picture 18">
              <a:hlinkClick xmlns:r="http://schemas.openxmlformats.org/officeDocument/2006/relationships" r:id="rId14" tooltip="Go to monthly input"/>
            </xdr:cNvPr>
            <xdr:cNvPicPr>
              <a:picLocks noChangeAspect="1"/>
              <a:extLst>
                <a:ext uri="{84589F7E-364E-4C9E-8A38-B11213B215E9}">
                  <a14:cameraTool cellRange="Picture" spid="_x0000_s15003"/>
                </a:ext>
              </a:extLst>
            </xdr:cNvPicPr>
          </xdr:nvPicPr>
          <xdr:blipFill>
            <a:blip xmlns:r="http://schemas.openxmlformats.org/officeDocument/2006/relationships" r:embed="rId9"/>
            <a:stretch>
              <a:fillRect/>
            </a:stretch>
          </xdr:blipFill>
          <xdr:spPr>
            <a:xfrm>
              <a:off x="6530984" y="1649412"/>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57</xdr:row>
          <xdr:rowOff>0</xdr:rowOff>
        </xdr:from>
        <xdr:to>
          <xdr:col>4</xdr:col>
          <xdr:colOff>323351</xdr:colOff>
          <xdr:row>58</xdr:row>
          <xdr:rowOff>12255</xdr:rowOff>
        </xdr:to>
        <xdr:pic>
          <xdr:nvPicPr>
            <xdr:cNvPr id="36" name="Picture 35">
              <a:hlinkClick xmlns:r="http://schemas.openxmlformats.org/officeDocument/2006/relationships" r:id="rId15" tooltip="Go to monthly input"/>
            </xdr:cNvPr>
            <xdr:cNvPicPr>
              <a:picLocks noChangeAspect="1"/>
              <a:extLst>
                <a:ext uri="{84589F7E-364E-4C9E-8A38-B11213B215E9}">
                  <a14:cameraTool cellRange="Picture" spid="_x0000_s15004"/>
                </a:ext>
              </a:extLst>
            </xdr:cNvPicPr>
          </xdr:nvPicPr>
          <xdr:blipFill>
            <a:blip xmlns:r="http://schemas.openxmlformats.org/officeDocument/2006/relationships" r:embed="rId9"/>
            <a:stretch>
              <a:fillRect/>
            </a:stretch>
          </xdr:blipFill>
          <xdr:spPr>
            <a:xfrm>
              <a:off x="6103947" y="4865687"/>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57</xdr:row>
          <xdr:rowOff>0</xdr:rowOff>
        </xdr:from>
        <xdr:to>
          <xdr:col>4</xdr:col>
          <xdr:colOff>323351</xdr:colOff>
          <xdr:row>58</xdr:row>
          <xdr:rowOff>10137</xdr:rowOff>
        </xdr:to>
        <xdr:pic>
          <xdr:nvPicPr>
            <xdr:cNvPr id="37" name="Picture 36">
              <a:hlinkClick xmlns:r="http://schemas.openxmlformats.org/officeDocument/2006/relationships" r:id="rId16" tooltip="Go to monthly input"/>
            </xdr:cNvPr>
            <xdr:cNvPicPr>
              <a:picLocks noChangeAspect="1"/>
              <a:extLst>
                <a:ext uri="{84589F7E-364E-4C9E-8A38-B11213B215E9}">
                  <a14:cameraTool cellRange="Picture" spid="_x0000_s15005"/>
                </a:ext>
              </a:extLst>
            </xdr:cNvPicPr>
          </xdr:nvPicPr>
          <xdr:blipFill>
            <a:blip xmlns:r="http://schemas.openxmlformats.org/officeDocument/2006/relationships" r:embed="rId9"/>
            <a:stretch>
              <a:fillRect/>
            </a:stretch>
          </xdr:blipFill>
          <xdr:spPr>
            <a:xfrm>
              <a:off x="6102359" y="7705725"/>
              <a:ext cx="164592" cy="16253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89</xdr:row>
          <xdr:rowOff>0</xdr:rowOff>
        </xdr:from>
        <xdr:to>
          <xdr:col>4</xdr:col>
          <xdr:colOff>323351</xdr:colOff>
          <xdr:row>90</xdr:row>
          <xdr:rowOff>16426</xdr:rowOff>
        </xdr:to>
        <xdr:pic>
          <xdr:nvPicPr>
            <xdr:cNvPr id="49" name="Picture 48">
              <a:hlinkClick xmlns:r="http://schemas.openxmlformats.org/officeDocument/2006/relationships" r:id="rId17" tooltip="Go to monthly input"/>
            </xdr:cNvPr>
            <xdr:cNvPicPr>
              <a:picLocks noChangeAspect="1"/>
              <a:extLst>
                <a:ext uri="{84589F7E-364E-4C9E-8A38-B11213B215E9}">
                  <a14:cameraTool cellRange="Picture" spid="_x0000_s15006"/>
                </a:ext>
              </a:extLst>
            </xdr:cNvPicPr>
          </xdr:nvPicPr>
          <xdr:blipFill>
            <a:blip xmlns:r="http://schemas.openxmlformats.org/officeDocument/2006/relationships" r:embed="rId9"/>
            <a:stretch>
              <a:fillRect/>
            </a:stretch>
          </xdr:blipFill>
          <xdr:spPr>
            <a:xfrm>
              <a:off x="6102359" y="8553450"/>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93</xdr:row>
          <xdr:rowOff>0</xdr:rowOff>
        </xdr:from>
        <xdr:to>
          <xdr:col>4</xdr:col>
          <xdr:colOff>323351</xdr:colOff>
          <xdr:row>94</xdr:row>
          <xdr:rowOff>16424</xdr:rowOff>
        </xdr:to>
        <xdr:pic>
          <xdr:nvPicPr>
            <xdr:cNvPr id="50" name="Picture 49">
              <a:hlinkClick xmlns:r="http://schemas.openxmlformats.org/officeDocument/2006/relationships" r:id="rId18" tooltip="Go to monthly input"/>
            </xdr:cNvPr>
            <xdr:cNvPicPr>
              <a:picLocks noChangeAspect="1"/>
              <a:extLst>
                <a:ext uri="{84589F7E-364E-4C9E-8A38-B11213B215E9}">
                  <a14:cameraTool cellRange="Picture" spid="_x0000_s15007"/>
                </a:ext>
              </a:extLst>
            </xdr:cNvPicPr>
          </xdr:nvPicPr>
          <xdr:blipFill>
            <a:blip xmlns:r="http://schemas.openxmlformats.org/officeDocument/2006/relationships" r:embed="rId9"/>
            <a:stretch>
              <a:fillRect/>
            </a:stretch>
          </xdr:blipFill>
          <xdr:spPr>
            <a:xfrm>
              <a:off x="6102359" y="11410950"/>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107</xdr:row>
          <xdr:rowOff>0</xdr:rowOff>
        </xdr:from>
        <xdr:to>
          <xdr:col>4</xdr:col>
          <xdr:colOff>323351</xdr:colOff>
          <xdr:row>108</xdr:row>
          <xdr:rowOff>2668</xdr:rowOff>
        </xdr:to>
        <xdr:pic>
          <xdr:nvPicPr>
            <xdr:cNvPr id="52" name="Picture 51">
              <a:hlinkClick xmlns:r="http://schemas.openxmlformats.org/officeDocument/2006/relationships" r:id="rId19" tooltip="Go to monthly input"/>
            </xdr:cNvPr>
            <xdr:cNvPicPr>
              <a:picLocks noChangeAspect="1"/>
              <a:extLst>
                <a:ext uri="{84589F7E-364E-4C9E-8A38-B11213B215E9}">
                  <a14:cameraTool cellRange="Picture" spid="_x0000_s15008"/>
                </a:ext>
              </a:extLst>
            </xdr:cNvPicPr>
          </xdr:nvPicPr>
          <xdr:blipFill>
            <a:blip xmlns:r="http://schemas.openxmlformats.org/officeDocument/2006/relationships" r:embed="rId9"/>
            <a:stretch>
              <a:fillRect/>
            </a:stretch>
          </xdr:blipFill>
          <xdr:spPr>
            <a:xfrm>
              <a:off x="6102359" y="137731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111</xdr:row>
          <xdr:rowOff>0</xdr:rowOff>
        </xdr:from>
        <xdr:to>
          <xdr:col>4</xdr:col>
          <xdr:colOff>323351</xdr:colOff>
          <xdr:row>112</xdr:row>
          <xdr:rowOff>2667</xdr:rowOff>
        </xdr:to>
        <xdr:pic>
          <xdr:nvPicPr>
            <xdr:cNvPr id="53" name="Picture 52">
              <a:hlinkClick xmlns:r="http://schemas.openxmlformats.org/officeDocument/2006/relationships" r:id="rId20" tooltip="Go to monthly input"/>
            </xdr:cNvPr>
            <xdr:cNvPicPr>
              <a:picLocks noChangeAspect="1"/>
              <a:extLst>
                <a:ext uri="{84589F7E-364E-4C9E-8A38-B11213B215E9}">
                  <a14:cameraTool cellRange="Picture" spid="_x0000_s15009"/>
                </a:ext>
              </a:extLst>
            </xdr:cNvPicPr>
          </xdr:nvPicPr>
          <xdr:blipFill>
            <a:blip xmlns:r="http://schemas.openxmlformats.org/officeDocument/2006/relationships" r:embed="rId9"/>
            <a:stretch>
              <a:fillRect/>
            </a:stretch>
          </xdr:blipFill>
          <xdr:spPr>
            <a:xfrm>
              <a:off x="6102359" y="13820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113</xdr:row>
          <xdr:rowOff>0</xdr:rowOff>
        </xdr:from>
        <xdr:to>
          <xdr:col>4</xdr:col>
          <xdr:colOff>323351</xdr:colOff>
          <xdr:row>114</xdr:row>
          <xdr:rowOff>2668</xdr:rowOff>
        </xdr:to>
        <xdr:pic>
          <xdr:nvPicPr>
            <xdr:cNvPr id="54" name="Picture 53">
              <a:hlinkClick xmlns:r="http://schemas.openxmlformats.org/officeDocument/2006/relationships" r:id="rId21" tooltip="Go to monthly input"/>
            </xdr:cNvPr>
            <xdr:cNvPicPr>
              <a:picLocks noChangeAspect="1"/>
              <a:extLst>
                <a:ext uri="{84589F7E-364E-4C9E-8A38-B11213B215E9}">
                  <a14:cameraTool cellRange="Picture" spid="_x0000_s15010"/>
                </a:ext>
              </a:extLst>
            </xdr:cNvPicPr>
          </xdr:nvPicPr>
          <xdr:blipFill>
            <a:blip xmlns:r="http://schemas.openxmlformats.org/officeDocument/2006/relationships" r:embed="rId9"/>
            <a:stretch>
              <a:fillRect/>
            </a:stretch>
          </xdr:blipFill>
          <xdr:spPr>
            <a:xfrm>
              <a:off x="6102359" y="14582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114</xdr:row>
          <xdr:rowOff>0</xdr:rowOff>
        </xdr:from>
        <xdr:to>
          <xdr:col>4</xdr:col>
          <xdr:colOff>323351</xdr:colOff>
          <xdr:row>115</xdr:row>
          <xdr:rowOff>2667</xdr:rowOff>
        </xdr:to>
        <xdr:pic>
          <xdr:nvPicPr>
            <xdr:cNvPr id="55" name="Picture 54">
              <a:hlinkClick xmlns:r="http://schemas.openxmlformats.org/officeDocument/2006/relationships" r:id="rId22" tooltip="Go to monthly input"/>
            </xdr:cNvPr>
            <xdr:cNvPicPr>
              <a:picLocks noChangeAspect="1"/>
              <a:extLst>
                <a:ext uri="{84589F7E-364E-4C9E-8A38-B11213B215E9}">
                  <a14:cameraTool cellRange="Picture" spid="_x0000_s15011"/>
                </a:ext>
              </a:extLst>
            </xdr:cNvPicPr>
          </xdr:nvPicPr>
          <xdr:blipFill>
            <a:blip xmlns:r="http://schemas.openxmlformats.org/officeDocument/2006/relationships" r:embed="rId9"/>
            <a:stretch>
              <a:fillRect/>
            </a:stretch>
          </xdr:blipFill>
          <xdr:spPr>
            <a:xfrm>
              <a:off x="6102359" y="14744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118</xdr:row>
          <xdr:rowOff>0</xdr:rowOff>
        </xdr:from>
        <xdr:to>
          <xdr:col>4</xdr:col>
          <xdr:colOff>323351</xdr:colOff>
          <xdr:row>119</xdr:row>
          <xdr:rowOff>2666</xdr:rowOff>
        </xdr:to>
        <xdr:pic>
          <xdr:nvPicPr>
            <xdr:cNvPr id="56" name="Picture 55">
              <a:hlinkClick xmlns:r="http://schemas.openxmlformats.org/officeDocument/2006/relationships" r:id="rId23" tooltip="Go to monthly input"/>
            </xdr:cNvPr>
            <xdr:cNvPicPr>
              <a:picLocks noChangeAspect="1"/>
              <a:extLst>
                <a:ext uri="{84589F7E-364E-4C9E-8A38-B11213B215E9}">
                  <a14:cameraTool cellRange="Picture" spid="_x0000_s15012"/>
                </a:ext>
              </a:extLst>
            </xdr:cNvPicPr>
          </xdr:nvPicPr>
          <xdr:blipFill>
            <a:blip xmlns:r="http://schemas.openxmlformats.org/officeDocument/2006/relationships" r:embed="rId9"/>
            <a:stretch>
              <a:fillRect/>
            </a:stretch>
          </xdr:blipFill>
          <xdr:spPr>
            <a:xfrm>
              <a:off x="6102359" y="153162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119</xdr:row>
          <xdr:rowOff>0</xdr:rowOff>
        </xdr:from>
        <xdr:to>
          <xdr:col>4</xdr:col>
          <xdr:colOff>323351</xdr:colOff>
          <xdr:row>120</xdr:row>
          <xdr:rowOff>2668</xdr:rowOff>
        </xdr:to>
        <xdr:pic>
          <xdr:nvPicPr>
            <xdr:cNvPr id="57" name="Picture 56">
              <a:hlinkClick xmlns:r="http://schemas.openxmlformats.org/officeDocument/2006/relationships" r:id="rId24" tooltip="Go to monthly input"/>
            </xdr:cNvPr>
            <xdr:cNvPicPr>
              <a:picLocks noChangeAspect="1"/>
              <a:extLst>
                <a:ext uri="{84589F7E-364E-4C9E-8A38-B11213B215E9}">
                  <a14:cameraTool cellRange="Picture" spid="_x0000_s15013"/>
                </a:ext>
              </a:extLst>
            </xdr:cNvPicPr>
          </xdr:nvPicPr>
          <xdr:blipFill>
            <a:blip xmlns:r="http://schemas.openxmlformats.org/officeDocument/2006/relationships" r:embed="rId9"/>
            <a:stretch>
              <a:fillRect/>
            </a:stretch>
          </xdr:blipFill>
          <xdr:spPr>
            <a:xfrm>
              <a:off x="6102359" y="154781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120</xdr:row>
          <xdr:rowOff>0</xdr:rowOff>
        </xdr:from>
        <xdr:to>
          <xdr:col>4</xdr:col>
          <xdr:colOff>323351</xdr:colOff>
          <xdr:row>121</xdr:row>
          <xdr:rowOff>2667</xdr:rowOff>
        </xdr:to>
        <xdr:pic>
          <xdr:nvPicPr>
            <xdr:cNvPr id="58" name="Picture 57">
              <a:hlinkClick xmlns:r="http://schemas.openxmlformats.org/officeDocument/2006/relationships" r:id="rId25" tooltip="Go to monthly input"/>
            </xdr:cNvPr>
            <xdr:cNvPicPr>
              <a:picLocks noChangeAspect="1"/>
              <a:extLst>
                <a:ext uri="{84589F7E-364E-4C9E-8A38-B11213B215E9}">
                  <a14:cameraTool cellRange="Picture" spid="_x0000_s15014"/>
                </a:ext>
              </a:extLst>
            </xdr:cNvPicPr>
          </xdr:nvPicPr>
          <xdr:blipFill>
            <a:blip xmlns:r="http://schemas.openxmlformats.org/officeDocument/2006/relationships" r:embed="rId9"/>
            <a:stretch>
              <a:fillRect/>
            </a:stretch>
          </xdr:blipFill>
          <xdr:spPr>
            <a:xfrm>
              <a:off x="6102359" y="156400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121</xdr:row>
          <xdr:rowOff>0</xdr:rowOff>
        </xdr:from>
        <xdr:to>
          <xdr:col>4</xdr:col>
          <xdr:colOff>323351</xdr:colOff>
          <xdr:row>122</xdr:row>
          <xdr:rowOff>2666</xdr:rowOff>
        </xdr:to>
        <xdr:pic>
          <xdr:nvPicPr>
            <xdr:cNvPr id="59" name="Picture 58">
              <a:hlinkClick xmlns:r="http://schemas.openxmlformats.org/officeDocument/2006/relationships" r:id="rId26" tooltip="Go to monthly input"/>
            </xdr:cNvPr>
            <xdr:cNvPicPr>
              <a:picLocks noChangeAspect="1"/>
              <a:extLst>
                <a:ext uri="{84589F7E-364E-4C9E-8A38-B11213B215E9}">
                  <a14:cameraTool cellRange="Picture" spid="_x0000_s15015"/>
                </a:ext>
              </a:extLst>
            </xdr:cNvPicPr>
          </xdr:nvPicPr>
          <xdr:blipFill>
            <a:blip xmlns:r="http://schemas.openxmlformats.org/officeDocument/2006/relationships" r:embed="rId9"/>
            <a:stretch>
              <a:fillRect/>
            </a:stretch>
          </xdr:blipFill>
          <xdr:spPr>
            <a:xfrm>
              <a:off x="6102359" y="158019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123</xdr:row>
          <xdr:rowOff>0</xdr:rowOff>
        </xdr:from>
        <xdr:to>
          <xdr:col>4</xdr:col>
          <xdr:colOff>323351</xdr:colOff>
          <xdr:row>124</xdr:row>
          <xdr:rowOff>2667</xdr:rowOff>
        </xdr:to>
        <xdr:pic>
          <xdr:nvPicPr>
            <xdr:cNvPr id="60" name="Picture 59">
              <a:hlinkClick xmlns:r="http://schemas.openxmlformats.org/officeDocument/2006/relationships" r:id="rId27" tooltip="Go to monthly input"/>
            </xdr:cNvPr>
            <xdr:cNvPicPr>
              <a:picLocks noChangeAspect="1"/>
              <a:extLst>
                <a:ext uri="{84589F7E-364E-4C9E-8A38-B11213B215E9}">
                  <a14:cameraTool cellRange="Picture" spid="_x0000_s15016"/>
                </a:ext>
              </a:extLst>
            </xdr:cNvPicPr>
          </xdr:nvPicPr>
          <xdr:blipFill>
            <a:blip xmlns:r="http://schemas.openxmlformats.org/officeDocument/2006/relationships" r:embed="rId9"/>
            <a:stretch>
              <a:fillRect/>
            </a:stretch>
          </xdr:blipFill>
          <xdr:spPr>
            <a:xfrm>
              <a:off x="6102359" y="161258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124</xdr:row>
          <xdr:rowOff>0</xdr:rowOff>
        </xdr:from>
        <xdr:to>
          <xdr:col>4</xdr:col>
          <xdr:colOff>323351</xdr:colOff>
          <xdr:row>125</xdr:row>
          <xdr:rowOff>2666</xdr:rowOff>
        </xdr:to>
        <xdr:pic>
          <xdr:nvPicPr>
            <xdr:cNvPr id="61" name="Picture 60">
              <a:hlinkClick xmlns:r="http://schemas.openxmlformats.org/officeDocument/2006/relationships" r:id="rId28" tooltip="Go to monthly input"/>
            </xdr:cNvPr>
            <xdr:cNvPicPr>
              <a:picLocks noChangeAspect="1"/>
              <a:extLst>
                <a:ext uri="{84589F7E-364E-4C9E-8A38-B11213B215E9}">
                  <a14:cameraTool cellRange="Picture" spid="_x0000_s15017"/>
                </a:ext>
              </a:extLst>
            </xdr:cNvPicPr>
          </xdr:nvPicPr>
          <xdr:blipFill>
            <a:blip xmlns:r="http://schemas.openxmlformats.org/officeDocument/2006/relationships" r:embed="rId9"/>
            <a:stretch>
              <a:fillRect/>
            </a:stretch>
          </xdr:blipFill>
          <xdr:spPr>
            <a:xfrm>
              <a:off x="6102359" y="162877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125</xdr:row>
          <xdr:rowOff>0</xdr:rowOff>
        </xdr:from>
        <xdr:to>
          <xdr:col>4</xdr:col>
          <xdr:colOff>323351</xdr:colOff>
          <xdr:row>126</xdr:row>
          <xdr:rowOff>2668</xdr:rowOff>
        </xdr:to>
        <xdr:pic>
          <xdr:nvPicPr>
            <xdr:cNvPr id="62" name="Picture 61">
              <a:hlinkClick xmlns:r="http://schemas.openxmlformats.org/officeDocument/2006/relationships" r:id="rId29" tooltip="Go to monthly input"/>
            </xdr:cNvPr>
            <xdr:cNvPicPr>
              <a:picLocks noChangeAspect="1"/>
              <a:extLst>
                <a:ext uri="{84589F7E-364E-4C9E-8A38-B11213B215E9}">
                  <a14:cameraTool cellRange="Picture" spid="_x0000_s15018"/>
                </a:ext>
              </a:extLst>
            </xdr:cNvPicPr>
          </xdr:nvPicPr>
          <xdr:blipFill>
            <a:blip xmlns:r="http://schemas.openxmlformats.org/officeDocument/2006/relationships" r:embed="rId9"/>
            <a:stretch>
              <a:fillRect/>
            </a:stretch>
          </xdr:blipFill>
          <xdr:spPr>
            <a:xfrm>
              <a:off x="6102359" y="164496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122</xdr:row>
          <xdr:rowOff>0</xdr:rowOff>
        </xdr:from>
        <xdr:to>
          <xdr:col>4</xdr:col>
          <xdr:colOff>323351</xdr:colOff>
          <xdr:row>123</xdr:row>
          <xdr:rowOff>2668</xdr:rowOff>
        </xdr:to>
        <xdr:pic>
          <xdr:nvPicPr>
            <xdr:cNvPr id="64" name="Picture 63">
              <a:hlinkClick xmlns:r="http://schemas.openxmlformats.org/officeDocument/2006/relationships" r:id="rId30" tooltip="Go to monthly input"/>
            </xdr:cNvPr>
            <xdr:cNvPicPr>
              <a:picLocks noChangeAspect="1"/>
              <a:extLst>
                <a:ext uri="{84589F7E-364E-4C9E-8A38-B11213B215E9}">
                  <a14:cameraTool cellRange="Picture" spid="_x0000_s15019"/>
                </a:ext>
              </a:extLst>
            </xdr:cNvPicPr>
          </xdr:nvPicPr>
          <xdr:blipFill>
            <a:blip xmlns:r="http://schemas.openxmlformats.org/officeDocument/2006/relationships" r:embed="rId9"/>
            <a:stretch>
              <a:fillRect/>
            </a:stretch>
          </xdr:blipFill>
          <xdr:spPr>
            <a:xfrm>
              <a:off x="6102359" y="159639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127</xdr:row>
          <xdr:rowOff>0</xdr:rowOff>
        </xdr:from>
        <xdr:to>
          <xdr:col>4</xdr:col>
          <xdr:colOff>323351</xdr:colOff>
          <xdr:row>128</xdr:row>
          <xdr:rowOff>5842</xdr:rowOff>
        </xdr:to>
        <xdr:pic>
          <xdr:nvPicPr>
            <xdr:cNvPr id="65" name="Picture 64">
              <a:hlinkClick xmlns:r="http://schemas.openxmlformats.org/officeDocument/2006/relationships" r:id="rId31" tooltip="Go to monthly input"/>
            </xdr:cNvPr>
            <xdr:cNvPicPr>
              <a:picLocks noChangeAspect="1"/>
              <a:extLst>
                <a:ext uri="{84589F7E-364E-4C9E-8A38-B11213B215E9}">
                  <a14:cameraTool cellRange="Picture" spid="_x0000_s15020"/>
                </a:ext>
              </a:extLst>
            </xdr:cNvPicPr>
          </xdr:nvPicPr>
          <xdr:blipFill>
            <a:blip xmlns:r="http://schemas.openxmlformats.org/officeDocument/2006/relationships" r:embed="rId9"/>
            <a:stretch>
              <a:fillRect/>
            </a:stretch>
          </xdr:blipFill>
          <xdr:spPr>
            <a:xfrm>
              <a:off x="6103947" y="12184063"/>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131</xdr:row>
          <xdr:rowOff>0</xdr:rowOff>
        </xdr:from>
        <xdr:to>
          <xdr:col>4</xdr:col>
          <xdr:colOff>323351</xdr:colOff>
          <xdr:row>132</xdr:row>
          <xdr:rowOff>2668</xdr:rowOff>
        </xdr:to>
        <xdr:pic>
          <xdr:nvPicPr>
            <xdr:cNvPr id="66" name="Picture 65">
              <a:hlinkClick xmlns:r="http://schemas.openxmlformats.org/officeDocument/2006/relationships" r:id="rId32" tooltip="Go to monthly input"/>
            </xdr:cNvPr>
            <xdr:cNvPicPr>
              <a:picLocks noChangeAspect="1"/>
              <a:extLst>
                <a:ext uri="{84589F7E-364E-4C9E-8A38-B11213B215E9}">
                  <a14:cameraTool cellRange="Picture" spid="_x0000_s15021"/>
                </a:ext>
              </a:extLst>
            </xdr:cNvPicPr>
          </xdr:nvPicPr>
          <xdr:blipFill>
            <a:blip xmlns:r="http://schemas.openxmlformats.org/officeDocument/2006/relationships" r:embed="rId9"/>
            <a:stretch>
              <a:fillRect/>
            </a:stretch>
          </xdr:blipFill>
          <xdr:spPr>
            <a:xfrm>
              <a:off x="6102359" y="17345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132</xdr:row>
          <xdr:rowOff>0</xdr:rowOff>
        </xdr:from>
        <xdr:to>
          <xdr:col>4</xdr:col>
          <xdr:colOff>323351</xdr:colOff>
          <xdr:row>133</xdr:row>
          <xdr:rowOff>2667</xdr:rowOff>
        </xdr:to>
        <xdr:pic>
          <xdr:nvPicPr>
            <xdr:cNvPr id="67" name="Picture 66">
              <a:hlinkClick xmlns:r="http://schemas.openxmlformats.org/officeDocument/2006/relationships" r:id="rId33" tooltip="Go to monthly input"/>
            </xdr:cNvPr>
            <xdr:cNvPicPr>
              <a:picLocks noChangeAspect="1"/>
              <a:extLst>
                <a:ext uri="{84589F7E-364E-4C9E-8A38-B11213B215E9}">
                  <a14:cameraTool cellRange="Picture" spid="_x0000_s15022"/>
                </a:ext>
              </a:extLst>
            </xdr:cNvPicPr>
          </xdr:nvPicPr>
          <xdr:blipFill>
            <a:blip xmlns:r="http://schemas.openxmlformats.org/officeDocument/2006/relationships" r:embed="rId9"/>
            <a:stretch>
              <a:fillRect/>
            </a:stretch>
          </xdr:blipFill>
          <xdr:spPr>
            <a:xfrm>
              <a:off x="6102359" y="175069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133</xdr:row>
          <xdr:rowOff>0</xdr:rowOff>
        </xdr:from>
        <xdr:to>
          <xdr:col>4</xdr:col>
          <xdr:colOff>323351</xdr:colOff>
          <xdr:row>134</xdr:row>
          <xdr:rowOff>2666</xdr:rowOff>
        </xdr:to>
        <xdr:pic>
          <xdr:nvPicPr>
            <xdr:cNvPr id="68" name="Picture 67">
              <a:hlinkClick xmlns:r="http://schemas.openxmlformats.org/officeDocument/2006/relationships" r:id="rId34" tooltip="Go to monthly input"/>
            </xdr:cNvPr>
            <xdr:cNvPicPr>
              <a:picLocks noChangeAspect="1"/>
              <a:extLst>
                <a:ext uri="{84589F7E-364E-4C9E-8A38-B11213B215E9}">
                  <a14:cameraTool cellRange="Picture" spid="_x0000_s15023"/>
                </a:ext>
              </a:extLst>
            </xdr:cNvPicPr>
          </xdr:nvPicPr>
          <xdr:blipFill>
            <a:blip xmlns:r="http://schemas.openxmlformats.org/officeDocument/2006/relationships" r:embed="rId9"/>
            <a:stretch>
              <a:fillRect/>
            </a:stretch>
          </xdr:blipFill>
          <xdr:spPr>
            <a:xfrm>
              <a:off x="6102359" y="176688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134</xdr:row>
          <xdr:rowOff>0</xdr:rowOff>
        </xdr:from>
        <xdr:to>
          <xdr:col>4</xdr:col>
          <xdr:colOff>323351</xdr:colOff>
          <xdr:row>135</xdr:row>
          <xdr:rowOff>2668</xdr:rowOff>
        </xdr:to>
        <xdr:pic>
          <xdr:nvPicPr>
            <xdr:cNvPr id="69" name="Picture 68">
              <a:hlinkClick xmlns:r="http://schemas.openxmlformats.org/officeDocument/2006/relationships" r:id="rId35" tooltip="Go to monthly input"/>
            </xdr:cNvPr>
            <xdr:cNvPicPr>
              <a:picLocks noChangeAspect="1"/>
              <a:extLst>
                <a:ext uri="{84589F7E-364E-4C9E-8A38-B11213B215E9}">
                  <a14:cameraTool cellRange="Picture" spid="_x0000_s15024"/>
                </a:ext>
              </a:extLst>
            </xdr:cNvPicPr>
          </xdr:nvPicPr>
          <xdr:blipFill>
            <a:blip xmlns:r="http://schemas.openxmlformats.org/officeDocument/2006/relationships" r:embed="rId9"/>
            <a:stretch>
              <a:fillRect/>
            </a:stretch>
          </xdr:blipFill>
          <xdr:spPr>
            <a:xfrm>
              <a:off x="6102359" y="178308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135</xdr:row>
          <xdr:rowOff>0</xdr:rowOff>
        </xdr:from>
        <xdr:to>
          <xdr:col>4</xdr:col>
          <xdr:colOff>323351</xdr:colOff>
          <xdr:row>136</xdr:row>
          <xdr:rowOff>2667</xdr:rowOff>
        </xdr:to>
        <xdr:pic>
          <xdr:nvPicPr>
            <xdr:cNvPr id="70" name="Picture 69">
              <a:hlinkClick xmlns:r="http://schemas.openxmlformats.org/officeDocument/2006/relationships" r:id="rId36" tooltip="Go to monthly input"/>
            </xdr:cNvPr>
            <xdr:cNvPicPr>
              <a:picLocks noChangeAspect="1"/>
              <a:extLst>
                <a:ext uri="{84589F7E-364E-4C9E-8A38-B11213B215E9}">
                  <a14:cameraTool cellRange="Picture" spid="_x0000_s15025"/>
                </a:ext>
              </a:extLst>
            </xdr:cNvPicPr>
          </xdr:nvPicPr>
          <xdr:blipFill>
            <a:blip xmlns:r="http://schemas.openxmlformats.org/officeDocument/2006/relationships" r:embed="rId9"/>
            <a:stretch>
              <a:fillRect/>
            </a:stretch>
          </xdr:blipFill>
          <xdr:spPr>
            <a:xfrm>
              <a:off x="6102359" y="179927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137</xdr:row>
          <xdr:rowOff>0</xdr:rowOff>
        </xdr:from>
        <xdr:to>
          <xdr:col>4</xdr:col>
          <xdr:colOff>323351</xdr:colOff>
          <xdr:row>138</xdr:row>
          <xdr:rowOff>2668</xdr:rowOff>
        </xdr:to>
        <xdr:pic>
          <xdr:nvPicPr>
            <xdr:cNvPr id="71" name="Picture 70">
              <a:hlinkClick xmlns:r="http://schemas.openxmlformats.org/officeDocument/2006/relationships" r:id="rId37" tooltip="Go to monthly input"/>
            </xdr:cNvPr>
            <xdr:cNvPicPr>
              <a:picLocks noChangeAspect="1"/>
              <a:extLst>
                <a:ext uri="{84589F7E-364E-4C9E-8A38-B11213B215E9}">
                  <a14:cameraTool cellRange="Picture" spid="_x0000_s15026"/>
                </a:ext>
              </a:extLst>
            </xdr:cNvPicPr>
          </xdr:nvPicPr>
          <xdr:blipFill>
            <a:blip xmlns:r="http://schemas.openxmlformats.org/officeDocument/2006/relationships" r:embed="rId9"/>
            <a:stretch>
              <a:fillRect/>
            </a:stretch>
          </xdr:blipFill>
          <xdr:spPr>
            <a:xfrm>
              <a:off x="6102359" y="183165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138</xdr:row>
          <xdr:rowOff>0</xdr:rowOff>
        </xdr:from>
        <xdr:to>
          <xdr:col>4</xdr:col>
          <xdr:colOff>323351</xdr:colOff>
          <xdr:row>139</xdr:row>
          <xdr:rowOff>5840</xdr:rowOff>
        </xdr:to>
        <xdr:pic>
          <xdr:nvPicPr>
            <xdr:cNvPr id="72" name="Picture 71">
              <a:hlinkClick xmlns:r="http://schemas.openxmlformats.org/officeDocument/2006/relationships" r:id="rId38" tooltip="Go to monthly input"/>
            </xdr:cNvPr>
            <xdr:cNvPicPr>
              <a:picLocks noChangeAspect="1"/>
              <a:extLst>
                <a:ext uri="{84589F7E-364E-4C9E-8A38-B11213B215E9}">
                  <a14:cameraTool cellRange="Picture" spid="_x0000_s15027"/>
                </a:ext>
              </a:extLst>
            </xdr:cNvPicPr>
          </xdr:nvPicPr>
          <xdr:blipFill>
            <a:blip xmlns:r="http://schemas.openxmlformats.org/officeDocument/2006/relationships" r:embed="rId9"/>
            <a:stretch>
              <a:fillRect/>
            </a:stretch>
          </xdr:blipFill>
          <xdr:spPr>
            <a:xfrm>
              <a:off x="6103947" y="137001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148</xdr:row>
          <xdr:rowOff>0</xdr:rowOff>
        </xdr:from>
        <xdr:to>
          <xdr:col>4</xdr:col>
          <xdr:colOff>323351</xdr:colOff>
          <xdr:row>149</xdr:row>
          <xdr:rowOff>2666</xdr:rowOff>
        </xdr:to>
        <xdr:pic>
          <xdr:nvPicPr>
            <xdr:cNvPr id="73" name="Picture 72">
              <a:hlinkClick xmlns:r="http://schemas.openxmlformats.org/officeDocument/2006/relationships" r:id="rId39" tooltip="Go to monthly input"/>
            </xdr:cNvPr>
            <xdr:cNvPicPr>
              <a:picLocks noChangeAspect="1"/>
              <a:extLst>
                <a:ext uri="{84589F7E-364E-4C9E-8A38-B11213B215E9}">
                  <a14:cameraTool cellRange="Picture" spid="_x0000_s15028"/>
                </a:ext>
              </a:extLst>
            </xdr:cNvPicPr>
          </xdr:nvPicPr>
          <xdr:blipFill>
            <a:blip xmlns:r="http://schemas.openxmlformats.org/officeDocument/2006/relationships" r:embed="rId9"/>
            <a:stretch>
              <a:fillRect/>
            </a:stretch>
          </xdr:blipFill>
          <xdr:spPr>
            <a:xfrm>
              <a:off x="6102359" y="197548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168</xdr:row>
          <xdr:rowOff>0</xdr:rowOff>
        </xdr:from>
        <xdr:to>
          <xdr:col>4</xdr:col>
          <xdr:colOff>323351</xdr:colOff>
          <xdr:row>169</xdr:row>
          <xdr:rowOff>2666</xdr:rowOff>
        </xdr:to>
        <xdr:pic>
          <xdr:nvPicPr>
            <xdr:cNvPr id="75" name="Picture 74">
              <a:hlinkClick xmlns:r="http://schemas.openxmlformats.org/officeDocument/2006/relationships" r:id="rId40" tooltip="Go to monthly input"/>
            </xdr:cNvPr>
            <xdr:cNvPicPr>
              <a:picLocks noChangeAspect="1"/>
              <a:extLst>
                <a:ext uri="{84589F7E-364E-4C9E-8A38-B11213B215E9}">
                  <a14:cameraTool cellRange="Picture" spid="_x0000_s15029"/>
                </a:ext>
              </a:extLst>
            </xdr:cNvPicPr>
          </xdr:nvPicPr>
          <xdr:blipFill>
            <a:blip xmlns:r="http://schemas.openxmlformats.org/officeDocument/2006/relationships" r:embed="rId9"/>
            <a:stretch>
              <a:fillRect/>
            </a:stretch>
          </xdr:blipFill>
          <xdr:spPr>
            <a:xfrm>
              <a:off x="6102359" y="224123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169</xdr:row>
          <xdr:rowOff>0</xdr:rowOff>
        </xdr:from>
        <xdr:to>
          <xdr:col>4</xdr:col>
          <xdr:colOff>323351</xdr:colOff>
          <xdr:row>170</xdr:row>
          <xdr:rowOff>2668</xdr:rowOff>
        </xdr:to>
        <xdr:pic>
          <xdr:nvPicPr>
            <xdr:cNvPr id="76" name="Picture 75">
              <a:hlinkClick xmlns:r="http://schemas.openxmlformats.org/officeDocument/2006/relationships" r:id="rId41" tooltip="Go to monthly input"/>
            </xdr:cNvPr>
            <xdr:cNvPicPr>
              <a:picLocks noChangeAspect="1"/>
              <a:extLst>
                <a:ext uri="{84589F7E-364E-4C9E-8A38-B11213B215E9}">
                  <a14:cameraTool cellRange="Picture" spid="_x0000_s15030"/>
                </a:ext>
              </a:extLst>
            </xdr:cNvPicPr>
          </xdr:nvPicPr>
          <xdr:blipFill>
            <a:blip xmlns:r="http://schemas.openxmlformats.org/officeDocument/2006/relationships" r:embed="rId9"/>
            <a:stretch>
              <a:fillRect/>
            </a:stretch>
          </xdr:blipFill>
          <xdr:spPr>
            <a:xfrm>
              <a:off x="6102359" y="225742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170</xdr:row>
          <xdr:rowOff>0</xdr:rowOff>
        </xdr:from>
        <xdr:to>
          <xdr:col>4</xdr:col>
          <xdr:colOff>323351</xdr:colOff>
          <xdr:row>171</xdr:row>
          <xdr:rowOff>2667</xdr:rowOff>
        </xdr:to>
        <xdr:pic>
          <xdr:nvPicPr>
            <xdr:cNvPr id="77" name="Picture 76">
              <a:hlinkClick xmlns:r="http://schemas.openxmlformats.org/officeDocument/2006/relationships" r:id="rId42" tooltip="Go to monthly input"/>
            </xdr:cNvPr>
            <xdr:cNvPicPr>
              <a:picLocks noChangeAspect="1"/>
              <a:extLst>
                <a:ext uri="{84589F7E-364E-4C9E-8A38-B11213B215E9}">
                  <a14:cameraTool cellRange="Picture" spid="_x0000_s15031"/>
                </a:ext>
              </a:extLst>
            </xdr:cNvPicPr>
          </xdr:nvPicPr>
          <xdr:blipFill>
            <a:blip xmlns:r="http://schemas.openxmlformats.org/officeDocument/2006/relationships" r:embed="rId9"/>
            <a:stretch>
              <a:fillRect/>
            </a:stretch>
          </xdr:blipFill>
          <xdr:spPr>
            <a:xfrm>
              <a:off x="6102359" y="227361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173</xdr:row>
          <xdr:rowOff>0</xdr:rowOff>
        </xdr:from>
        <xdr:to>
          <xdr:col>4</xdr:col>
          <xdr:colOff>323351</xdr:colOff>
          <xdr:row>174</xdr:row>
          <xdr:rowOff>2667</xdr:rowOff>
        </xdr:to>
        <xdr:pic>
          <xdr:nvPicPr>
            <xdr:cNvPr id="78" name="Picture 77">
              <a:hlinkClick xmlns:r="http://schemas.openxmlformats.org/officeDocument/2006/relationships" r:id="rId43" tooltip="Go to monthly input"/>
            </xdr:cNvPr>
            <xdr:cNvPicPr>
              <a:picLocks noChangeAspect="1"/>
              <a:extLst>
                <a:ext uri="{84589F7E-364E-4C9E-8A38-B11213B215E9}">
                  <a14:cameraTool cellRange="Picture" spid="_x0000_s15032"/>
                </a:ext>
              </a:extLst>
            </xdr:cNvPicPr>
          </xdr:nvPicPr>
          <xdr:blipFill>
            <a:blip xmlns:r="http://schemas.openxmlformats.org/officeDocument/2006/relationships" r:embed="rId9"/>
            <a:stretch>
              <a:fillRect/>
            </a:stretch>
          </xdr:blipFill>
          <xdr:spPr>
            <a:xfrm>
              <a:off x="6102359" y="232219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177</xdr:row>
          <xdr:rowOff>0</xdr:rowOff>
        </xdr:from>
        <xdr:to>
          <xdr:col>4</xdr:col>
          <xdr:colOff>323351</xdr:colOff>
          <xdr:row>178</xdr:row>
          <xdr:rowOff>2666</xdr:rowOff>
        </xdr:to>
        <xdr:pic>
          <xdr:nvPicPr>
            <xdr:cNvPr id="79" name="Picture 78">
              <a:hlinkClick xmlns:r="http://schemas.openxmlformats.org/officeDocument/2006/relationships" r:id="rId44" tooltip="Go to monthly input"/>
            </xdr:cNvPr>
            <xdr:cNvPicPr>
              <a:picLocks noChangeAspect="1"/>
              <a:extLst>
                <a:ext uri="{84589F7E-364E-4C9E-8A38-B11213B215E9}">
                  <a14:cameraTool cellRange="Picture" spid="_x0000_s15033"/>
                </a:ext>
              </a:extLst>
            </xdr:cNvPicPr>
          </xdr:nvPicPr>
          <xdr:blipFill>
            <a:blip xmlns:r="http://schemas.openxmlformats.org/officeDocument/2006/relationships" r:embed="rId9"/>
            <a:stretch>
              <a:fillRect/>
            </a:stretch>
          </xdr:blipFill>
          <xdr:spPr>
            <a:xfrm>
              <a:off x="6102359" y="237934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178</xdr:row>
          <xdr:rowOff>0</xdr:rowOff>
        </xdr:from>
        <xdr:to>
          <xdr:col>4</xdr:col>
          <xdr:colOff>323351</xdr:colOff>
          <xdr:row>179</xdr:row>
          <xdr:rowOff>2668</xdr:rowOff>
        </xdr:to>
        <xdr:pic>
          <xdr:nvPicPr>
            <xdr:cNvPr id="80" name="Picture 79">
              <a:hlinkClick xmlns:r="http://schemas.openxmlformats.org/officeDocument/2006/relationships" r:id="rId45" tooltip="Go to monthly input"/>
            </xdr:cNvPr>
            <xdr:cNvPicPr>
              <a:picLocks noChangeAspect="1"/>
              <a:extLst>
                <a:ext uri="{84589F7E-364E-4C9E-8A38-B11213B215E9}">
                  <a14:cameraTool cellRange="Picture" spid="_x0000_s15034"/>
                </a:ext>
              </a:extLst>
            </xdr:cNvPicPr>
          </xdr:nvPicPr>
          <xdr:blipFill>
            <a:blip xmlns:r="http://schemas.openxmlformats.org/officeDocument/2006/relationships" r:embed="rId9"/>
            <a:stretch>
              <a:fillRect/>
            </a:stretch>
          </xdr:blipFill>
          <xdr:spPr>
            <a:xfrm>
              <a:off x="6102359" y="239553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179</xdr:row>
          <xdr:rowOff>0</xdr:rowOff>
        </xdr:from>
        <xdr:to>
          <xdr:col>4</xdr:col>
          <xdr:colOff>323351</xdr:colOff>
          <xdr:row>180</xdr:row>
          <xdr:rowOff>2667</xdr:rowOff>
        </xdr:to>
        <xdr:pic>
          <xdr:nvPicPr>
            <xdr:cNvPr id="81" name="Picture 80">
              <a:hlinkClick xmlns:r="http://schemas.openxmlformats.org/officeDocument/2006/relationships" r:id="rId46" tooltip="Go to monthly input"/>
            </xdr:cNvPr>
            <xdr:cNvPicPr>
              <a:picLocks noChangeAspect="1"/>
              <a:extLst>
                <a:ext uri="{84589F7E-364E-4C9E-8A38-B11213B215E9}">
                  <a14:cameraTool cellRange="Picture" spid="_x0000_s15035"/>
                </a:ext>
              </a:extLst>
            </xdr:cNvPicPr>
          </xdr:nvPicPr>
          <xdr:blipFill>
            <a:blip xmlns:r="http://schemas.openxmlformats.org/officeDocument/2006/relationships" r:embed="rId9"/>
            <a:stretch>
              <a:fillRect/>
            </a:stretch>
          </xdr:blipFill>
          <xdr:spPr>
            <a:xfrm>
              <a:off x="6102359" y="241173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182</xdr:row>
          <xdr:rowOff>0</xdr:rowOff>
        </xdr:from>
        <xdr:to>
          <xdr:col>4</xdr:col>
          <xdr:colOff>323351</xdr:colOff>
          <xdr:row>183</xdr:row>
          <xdr:rowOff>2667</xdr:rowOff>
        </xdr:to>
        <xdr:pic>
          <xdr:nvPicPr>
            <xdr:cNvPr id="82" name="Picture 81">
              <a:hlinkClick xmlns:r="http://schemas.openxmlformats.org/officeDocument/2006/relationships" r:id="rId47" tooltip="Go to monthly input"/>
            </xdr:cNvPr>
            <xdr:cNvPicPr>
              <a:picLocks noChangeAspect="1"/>
              <a:extLst>
                <a:ext uri="{84589F7E-364E-4C9E-8A38-B11213B215E9}">
                  <a14:cameraTool cellRange="Picture" spid="_x0000_s15036"/>
                </a:ext>
              </a:extLst>
            </xdr:cNvPicPr>
          </xdr:nvPicPr>
          <xdr:blipFill>
            <a:blip xmlns:r="http://schemas.openxmlformats.org/officeDocument/2006/relationships" r:embed="rId9"/>
            <a:stretch>
              <a:fillRect/>
            </a:stretch>
          </xdr:blipFill>
          <xdr:spPr>
            <a:xfrm>
              <a:off x="6102359" y="246030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187</xdr:row>
          <xdr:rowOff>0</xdr:rowOff>
        </xdr:from>
        <xdr:to>
          <xdr:col>4</xdr:col>
          <xdr:colOff>323351</xdr:colOff>
          <xdr:row>188</xdr:row>
          <xdr:rowOff>2668</xdr:rowOff>
        </xdr:to>
        <xdr:pic>
          <xdr:nvPicPr>
            <xdr:cNvPr id="83" name="Picture 82">
              <a:hlinkClick xmlns:r="http://schemas.openxmlformats.org/officeDocument/2006/relationships" r:id="rId48" tooltip="Go to monthly input"/>
            </xdr:cNvPr>
            <xdr:cNvPicPr>
              <a:picLocks noChangeAspect="1"/>
              <a:extLst>
                <a:ext uri="{84589F7E-364E-4C9E-8A38-B11213B215E9}">
                  <a14:cameraTool cellRange="Picture" spid="_x0000_s15037"/>
                </a:ext>
              </a:extLst>
            </xdr:cNvPicPr>
          </xdr:nvPicPr>
          <xdr:blipFill>
            <a:blip xmlns:r="http://schemas.openxmlformats.org/officeDocument/2006/relationships" r:embed="rId9"/>
            <a:stretch>
              <a:fillRect/>
            </a:stretch>
          </xdr:blipFill>
          <xdr:spPr>
            <a:xfrm>
              <a:off x="6102359" y="25412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192</xdr:row>
          <xdr:rowOff>0</xdr:rowOff>
        </xdr:from>
        <xdr:to>
          <xdr:col>4</xdr:col>
          <xdr:colOff>323351</xdr:colOff>
          <xdr:row>193</xdr:row>
          <xdr:rowOff>2666</xdr:rowOff>
        </xdr:to>
        <xdr:pic>
          <xdr:nvPicPr>
            <xdr:cNvPr id="84" name="Picture 83">
              <a:hlinkClick xmlns:r="http://schemas.openxmlformats.org/officeDocument/2006/relationships" r:id="rId49" tooltip="Go to monthly input"/>
            </xdr:cNvPr>
            <xdr:cNvPicPr>
              <a:picLocks noChangeAspect="1"/>
              <a:extLst>
                <a:ext uri="{84589F7E-364E-4C9E-8A38-B11213B215E9}">
                  <a14:cameraTool cellRange="Picture" spid="_x0000_s15038"/>
                </a:ext>
              </a:extLst>
            </xdr:cNvPicPr>
          </xdr:nvPicPr>
          <xdr:blipFill>
            <a:blip xmlns:r="http://schemas.openxmlformats.org/officeDocument/2006/relationships" r:embed="rId9"/>
            <a:stretch>
              <a:fillRect/>
            </a:stretch>
          </xdr:blipFill>
          <xdr:spPr>
            <a:xfrm>
              <a:off x="6102359" y="262223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193</xdr:row>
          <xdr:rowOff>0</xdr:rowOff>
        </xdr:from>
        <xdr:to>
          <xdr:col>4</xdr:col>
          <xdr:colOff>323351</xdr:colOff>
          <xdr:row>194</xdr:row>
          <xdr:rowOff>2668</xdr:rowOff>
        </xdr:to>
        <xdr:pic>
          <xdr:nvPicPr>
            <xdr:cNvPr id="85" name="Picture 84">
              <a:hlinkClick xmlns:r="http://schemas.openxmlformats.org/officeDocument/2006/relationships" r:id="rId50" tooltip="Go to monthly input"/>
            </xdr:cNvPr>
            <xdr:cNvPicPr>
              <a:picLocks noChangeAspect="1"/>
              <a:extLst>
                <a:ext uri="{84589F7E-364E-4C9E-8A38-B11213B215E9}">
                  <a14:cameraTool cellRange="Picture" spid="_x0000_s15039"/>
                </a:ext>
              </a:extLst>
            </xdr:cNvPicPr>
          </xdr:nvPicPr>
          <xdr:blipFill>
            <a:blip xmlns:r="http://schemas.openxmlformats.org/officeDocument/2006/relationships" r:embed="rId9"/>
            <a:stretch>
              <a:fillRect/>
            </a:stretch>
          </xdr:blipFill>
          <xdr:spPr>
            <a:xfrm>
              <a:off x="6102359" y="263842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196</xdr:row>
          <xdr:rowOff>0</xdr:rowOff>
        </xdr:from>
        <xdr:to>
          <xdr:col>4</xdr:col>
          <xdr:colOff>323351</xdr:colOff>
          <xdr:row>197</xdr:row>
          <xdr:rowOff>2668</xdr:rowOff>
        </xdr:to>
        <xdr:pic>
          <xdr:nvPicPr>
            <xdr:cNvPr id="86" name="Picture 85">
              <a:hlinkClick xmlns:r="http://schemas.openxmlformats.org/officeDocument/2006/relationships" r:id="rId51" tooltip="Go to monthly input"/>
            </xdr:cNvPr>
            <xdr:cNvPicPr>
              <a:picLocks noChangeAspect="1"/>
              <a:extLst>
                <a:ext uri="{84589F7E-364E-4C9E-8A38-B11213B215E9}">
                  <a14:cameraTool cellRange="Picture" spid="_x0000_s15040"/>
                </a:ext>
              </a:extLst>
            </xdr:cNvPicPr>
          </xdr:nvPicPr>
          <xdr:blipFill>
            <a:blip xmlns:r="http://schemas.openxmlformats.org/officeDocument/2006/relationships" r:embed="rId9"/>
            <a:stretch>
              <a:fillRect/>
            </a:stretch>
          </xdr:blipFill>
          <xdr:spPr>
            <a:xfrm>
              <a:off x="6102359" y="26870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202</xdr:row>
          <xdr:rowOff>0</xdr:rowOff>
        </xdr:from>
        <xdr:to>
          <xdr:col>4</xdr:col>
          <xdr:colOff>323351</xdr:colOff>
          <xdr:row>203</xdr:row>
          <xdr:rowOff>5844</xdr:rowOff>
        </xdr:to>
        <xdr:pic>
          <xdr:nvPicPr>
            <xdr:cNvPr id="87" name="Picture 86">
              <a:hlinkClick xmlns:r="http://schemas.openxmlformats.org/officeDocument/2006/relationships" r:id="rId52" tooltip="Go to monthly input"/>
            </xdr:cNvPr>
            <xdr:cNvPicPr>
              <a:picLocks noChangeAspect="1"/>
              <a:extLst>
                <a:ext uri="{84589F7E-364E-4C9E-8A38-B11213B215E9}">
                  <a14:cameraTool cellRange="Picture" spid="_x0000_s15041"/>
                </a:ext>
              </a:extLst>
            </xdr:cNvPicPr>
          </xdr:nvPicPr>
          <xdr:blipFill>
            <a:blip xmlns:r="http://schemas.openxmlformats.org/officeDocument/2006/relationships" r:embed="rId9"/>
            <a:stretch>
              <a:fillRect/>
            </a:stretch>
          </xdr:blipFill>
          <xdr:spPr>
            <a:xfrm>
              <a:off x="6103947" y="18454688"/>
              <a:ext cx="164592" cy="164592"/>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202</xdr:row>
          <xdr:rowOff>0</xdr:rowOff>
        </xdr:from>
        <xdr:to>
          <xdr:col>4</xdr:col>
          <xdr:colOff>323351</xdr:colOff>
          <xdr:row>203</xdr:row>
          <xdr:rowOff>2668</xdr:rowOff>
        </xdr:to>
        <xdr:pic>
          <xdr:nvPicPr>
            <xdr:cNvPr id="88" name="Picture 87">
              <a:hlinkClick xmlns:r="http://schemas.openxmlformats.org/officeDocument/2006/relationships" r:id="rId53" tooltip="Go to monthly input"/>
            </xdr:cNvPr>
            <xdr:cNvPicPr>
              <a:picLocks noChangeAspect="1"/>
              <a:extLst>
                <a:ext uri="{84589F7E-364E-4C9E-8A38-B11213B215E9}">
                  <a14:cameraTool cellRange="Picture" spid="_x0000_s15042"/>
                </a:ext>
              </a:extLst>
            </xdr:cNvPicPr>
          </xdr:nvPicPr>
          <xdr:blipFill>
            <a:blip xmlns:r="http://schemas.openxmlformats.org/officeDocument/2006/relationships" r:embed="rId9"/>
            <a:stretch>
              <a:fillRect/>
            </a:stretch>
          </xdr:blipFill>
          <xdr:spPr>
            <a:xfrm>
              <a:off x="6102359" y="273558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203</xdr:row>
          <xdr:rowOff>0</xdr:rowOff>
        </xdr:from>
        <xdr:to>
          <xdr:col>4</xdr:col>
          <xdr:colOff>323351</xdr:colOff>
          <xdr:row>203</xdr:row>
          <xdr:rowOff>164592</xdr:rowOff>
        </xdr:to>
        <xdr:pic>
          <xdr:nvPicPr>
            <xdr:cNvPr id="89" name="Picture 88">
              <a:hlinkClick xmlns:r="http://schemas.openxmlformats.org/officeDocument/2006/relationships" r:id="rId54" tooltip="Go to monthly input"/>
            </xdr:cNvPr>
            <xdr:cNvPicPr>
              <a:picLocks noChangeAspect="1"/>
              <a:extLst>
                <a:ext uri="{84589F7E-364E-4C9E-8A38-B11213B215E9}">
                  <a14:cameraTool cellRange="Picture" spid="_x0000_s15043"/>
                </a:ext>
              </a:extLst>
            </xdr:cNvPicPr>
          </xdr:nvPicPr>
          <xdr:blipFill>
            <a:blip xmlns:r="http://schemas.openxmlformats.org/officeDocument/2006/relationships" r:embed="rId9"/>
            <a:stretch>
              <a:fillRect/>
            </a:stretch>
          </xdr:blipFill>
          <xdr:spPr>
            <a:xfrm>
              <a:off x="6102359" y="275177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90</xdr:row>
          <xdr:rowOff>0</xdr:rowOff>
        </xdr:from>
        <xdr:to>
          <xdr:col>4</xdr:col>
          <xdr:colOff>323351</xdr:colOff>
          <xdr:row>91</xdr:row>
          <xdr:rowOff>16423</xdr:rowOff>
        </xdr:to>
        <xdr:pic>
          <xdr:nvPicPr>
            <xdr:cNvPr id="90" name="Picture 89">
              <a:hlinkClick xmlns:r="http://schemas.openxmlformats.org/officeDocument/2006/relationships" r:id="rId55" tooltip="Go to monthly input"/>
            </xdr:cNvPr>
            <xdr:cNvPicPr>
              <a:picLocks noChangeAspect="1"/>
              <a:extLst>
                <a:ext uri="{84589F7E-364E-4C9E-8A38-B11213B215E9}">
                  <a14:cameraTool cellRange="Picture" spid="_x0000_s15044"/>
                </a:ext>
              </a:extLst>
            </xdr:cNvPicPr>
          </xdr:nvPicPr>
          <xdr:blipFill>
            <a:blip xmlns:r="http://schemas.openxmlformats.org/officeDocument/2006/relationships" r:embed="rId9"/>
            <a:stretch>
              <a:fillRect/>
            </a:stretch>
          </xdr:blipFill>
          <xdr:spPr>
            <a:xfrm>
              <a:off x="6530984" y="8062913"/>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92</xdr:row>
          <xdr:rowOff>0</xdr:rowOff>
        </xdr:from>
        <xdr:to>
          <xdr:col>4</xdr:col>
          <xdr:colOff>323351</xdr:colOff>
          <xdr:row>93</xdr:row>
          <xdr:rowOff>16427</xdr:rowOff>
        </xdr:to>
        <xdr:pic>
          <xdr:nvPicPr>
            <xdr:cNvPr id="91" name="Picture 90">
              <a:hlinkClick xmlns:r="http://schemas.openxmlformats.org/officeDocument/2006/relationships" r:id="rId56" tooltip="Go to monthly input"/>
            </xdr:cNvPr>
            <xdr:cNvPicPr>
              <a:picLocks noChangeAspect="1"/>
              <a:extLst>
                <a:ext uri="{84589F7E-364E-4C9E-8A38-B11213B215E9}">
                  <a14:cameraTool cellRange="Picture" spid="_x0000_s15045"/>
                </a:ext>
              </a:extLst>
            </xdr:cNvPicPr>
          </xdr:nvPicPr>
          <xdr:blipFill>
            <a:blip xmlns:r="http://schemas.openxmlformats.org/officeDocument/2006/relationships" r:embed="rId9"/>
            <a:stretch>
              <a:fillRect/>
            </a:stretch>
          </xdr:blipFill>
          <xdr:spPr>
            <a:xfrm>
              <a:off x="6102359" y="8877300"/>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181</xdr:row>
          <xdr:rowOff>0</xdr:rowOff>
        </xdr:from>
        <xdr:to>
          <xdr:col>4</xdr:col>
          <xdr:colOff>323351</xdr:colOff>
          <xdr:row>182</xdr:row>
          <xdr:rowOff>2668</xdr:rowOff>
        </xdr:to>
        <xdr:pic>
          <xdr:nvPicPr>
            <xdr:cNvPr id="96" name="Picture 95">
              <a:hlinkClick xmlns:r="http://schemas.openxmlformats.org/officeDocument/2006/relationships" r:id="rId57" tooltip="Go to monthly input"/>
            </xdr:cNvPr>
            <xdr:cNvPicPr>
              <a:picLocks noChangeAspect="1"/>
              <a:extLst>
                <a:ext uri="{84589F7E-364E-4C9E-8A38-B11213B215E9}">
                  <a14:cameraTool cellRange="Picture" spid="_x0000_s15046"/>
                </a:ext>
              </a:extLst>
            </xdr:cNvPicPr>
          </xdr:nvPicPr>
          <xdr:blipFill>
            <a:blip xmlns:r="http://schemas.openxmlformats.org/officeDocument/2006/relationships" r:embed="rId9"/>
            <a:stretch>
              <a:fillRect/>
            </a:stretch>
          </xdr:blipFill>
          <xdr:spPr>
            <a:xfrm>
              <a:off x="6102359" y="244411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180</xdr:row>
          <xdr:rowOff>0</xdr:rowOff>
        </xdr:from>
        <xdr:to>
          <xdr:col>4</xdr:col>
          <xdr:colOff>323351</xdr:colOff>
          <xdr:row>181</xdr:row>
          <xdr:rowOff>2666</xdr:rowOff>
        </xdr:to>
        <xdr:pic>
          <xdr:nvPicPr>
            <xdr:cNvPr id="97" name="Picture 96">
              <a:hlinkClick xmlns:r="http://schemas.openxmlformats.org/officeDocument/2006/relationships" r:id="rId58" tooltip="Go to monthly input"/>
            </xdr:cNvPr>
            <xdr:cNvPicPr>
              <a:picLocks noChangeAspect="1"/>
              <a:extLst>
                <a:ext uri="{84589F7E-364E-4C9E-8A38-B11213B215E9}">
                  <a14:cameraTool cellRange="Picture" spid="_x0000_s15047"/>
                </a:ext>
              </a:extLst>
            </xdr:cNvPicPr>
          </xdr:nvPicPr>
          <xdr:blipFill>
            <a:blip xmlns:r="http://schemas.openxmlformats.org/officeDocument/2006/relationships" r:embed="rId9"/>
            <a:stretch>
              <a:fillRect/>
            </a:stretch>
          </xdr:blipFill>
          <xdr:spPr>
            <a:xfrm>
              <a:off x="6102359" y="242792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183</xdr:row>
          <xdr:rowOff>0</xdr:rowOff>
        </xdr:from>
        <xdr:to>
          <xdr:col>4</xdr:col>
          <xdr:colOff>323351</xdr:colOff>
          <xdr:row>184</xdr:row>
          <xdr:rowOff>2666</xdr:rowOff>
        </xdr:to>
        <xdr:pic>
          <xdr:nvPicPr>
            <xdr:cNvPr id="98" name="Picture 97">
              <a:hlinkClick xmlns:r="http://schemas.openxmlformats.org/officeDocument/2006/relationships" r:id="rId59" tooltip="Go to monthly input"/>
            </xdr:cNvPr>
            <xdr:cNvPicPr>
              <a:picLocks noChangeAspect="1"/>
              <a:extLst>
                <a:ext uri="{84589F7E-364E-4C9E-8A38-B11213B215E9}">
                  <a14:cameraTool cellRange="Picture" spid="_x0000_s15048"/>
                </a:ext>
              </a:extLst>
            </xdr:cNvPicPr>
          </xdr:nvPicPr>
          <xdr:blipFill>
            <a:blip xmlns:r="http://schemas.openxmlformats.org/officeDocument/2006/relationships" r:embed="rId9"/>
            <a:stretch>
              <a:fillRect/>
            </a:stretch>
          </xdr:blipFill>
          <xdr:spPr>
            <a:xfrm>
              <a:off x="6102359" y="247650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184</xdr:row>
          <xdr:rowOff>0</xdr:rowOff>
        </xdr:from>
        <xdr:to>
          <xdr:col>4</xdr:col>
          <xdr:colOff>323351</xdr:colOff>
          <xdr:row>185</xdr:row>
          <xdr:rowOff>2668</xdr:rowOff>
        </xdr:to>
        <xdr:pic>
          <xdr:nvPicPr>
            <xdr:cNvPr id="99" name="Picture 98">
              <a:hlinkClick xmlns:r="http://schemas.openxmlformats.org/officeDocument/2006/relationships" r:id="rId60" tooltip="Go to monthly input"/>
            </xdr:cNvPr>
            <xdr:cNvPicPr>
              <a:picLocks noChangeAspect="1"/>
              <a:extLst>
                <a:ext uri="{84589F7E-364E-4C9E-8A38-B11213B215E9}">
                  <a14:cameraTool cellRange="Picture" spid="_x0000_s15049"/>
                </a:ext>
              </a:extLst>
            </xdr:cNvPicPr>
          </xdr:nvPicPr>
          <xdr:blipFill>
            <a:blip xmlns:r="http://schemas.openxmlformats.org/officeDocument/2006/relationships" r:embed="rId9"/>
            <a:stretch>
              <a:fillRect/>
            </a:stretch>
          </xdr:blipFill>
          <xdr:spPr>
            <a:xfrm>
              <a:off x="6102359" y="249269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185</xdr:row>
          <xdr:rowOff>0</xdr:rowOff>
        </xdr:from>
        <xdr:to>
          <xdr:col>4</xdr:col>
          <xdr:colOff>323351</xdr:colOff>
          <xdr:row>186</xdr:row>
          <xdr:rowOff>2667</xdr:rowOff>
        </xdr:to>
        <xdr:pic>
          <xdr:nvPicPr>
            <xdr:cNvPr id="100" name="Picture 99">
              <a:hlinkClick xmlns:r="http://schemas.openxmlformats.org/officeDocument/2006/relationships" r:id="rId61" tooltip="Go to monthly input"/>
            </xdr:cNvPr>
            <xdr:cNvPicPr>
              <a:picLocks noChangeAspect="1"/>
              <a:extLst>
                <a:ext uri="{84589F7E-364E-4C9E-8A38-B11213B215E9}">
                  <a14:cameraTool cellRange="Picture" spid="_x0000_s15050"/>
                </a:ext>
              </a:extLst>
            </xdr:cNvPicPr>
          </xdr:nvPicPr>
          <xdr:blipFill>
            <a:blip xmlns:r="http://schemas.openxmlformats.org/officeDocument/2006/relationships" r:embed="rId9"/>
            <a:stretch>
              <a:fillRect/>
            </a:stretch>
          </xdr:blipFill>
          <xdr:spPr>
            <a:xfrm>
              <a:off x="6102359" y="250888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186</xdr:row>
          <xdr:rowOff>0</xdr:rowOff>
        </xdr:from>
        <xdr:to>
          <xdr:col>4</xdr:col>
          <xdr:colOff>323351</xdr:colOff>
          <xdr:row>187</xdr:row>
          <xdr:rowOff>2666</xdr:rowOff>
        </xdr:to>
        <xdr:pic>
          <xdr:nvPicPr>
            <xdr:cNvPr id="101" name="Picture 100">
              <a:hlinkClick xmlns:r="http://schemas.openxmlformats.org/officeDocument/2006/relationships" r:id="rId62" tooltip="Go to monthly input"/>
            </xdr:cNvPr>
            <xdr:cNvPicPr>
              <a:picLocks noChangeAspect="1"/>
              <a:extLst>
                <a:ext uri="{84589F7E-364E-4C9E-8A38-B11213B215E9}">
                  <a14:cameraTool cellRange="Picture" spid="_x0000_s15051"/>
                </a:ext>
              </a:extLst>
            </xdr:cNvPicPr>
          </xdr:nvPicPr>
          <xdr:blipFill>
            <a:blip xmlns:r="http://schemas.openxmlformats.org/officeDocument/2006/relationships" r:embed="rId9"/>
            <a:stretch>
              <a:fillRect/>
            </a:stretch>
          </xdr:blipFill>
          <xdr:spPr>
            <a:xfrm>
              <a:off x="6102359" y="25250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188</xdr:row>
          <xdr:rowOff>0</xdr:rowOff>
        </xdr:from>
        <xdr:to>
          <xdr:col>4</xdr:col>
          <xdr:colOff>323351</xdr:colOff>
          <xdr:row>189</xdr:row>
          <xdr:rowOff>2667</xdr:rowOff>
        </xdr:to>
        <xdr:pic>
          <xdr:nvPicPr>
            <xdr:cNvPr id="102" name="Picture 101">
              <a:hlinkClick xmlns:r="http://schemas.openxmlformats.org/officeDocument/2006/relationships" r:id="rId63" tooltip="Go to monthly input"/>
            </xdr:cNvPr>
            <xdr:cNvPicPr>
              <a:picLocks noChangeAspect="1"/>
              <a:extLst>
                <a:ext uri="{84589F7E-364E-4C9E-8A38-B11213B215E9}">
                  <a14:cameraTool cellRange="Picture" spid="_x0000_s15052"/>
                </a:ext>
              </a:extLst>
            </xdr:cNvPicPr>
          </xdr:nvPicPr>
          <xdr:blipFill>
            <a:blip xmlns:r="http://schemas.openxmlformats.org/officeDocument/2006/relationships" r:embed="rId9"/>
            <a:stretch>
              <a:fillRect/>
            </a:stretch>
          </xdr:blipFill>
          <xdr:spPr>
            <a:xfrm>
              <a:off x="6102359" y="255746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189</xdr:row>
          <xdr:rowOff>0</xdr:rowOff>
        </xdr:from>
        <xdr:to>
          <xdr:col>4</xdr:col>
          <xdr:colOff>323351</xdr:colOff>
          <xdr:row>190</xdr:row>
          <xdr:rowOff>2666</xdr:rowOff>
        </xdr:to>
        <xdr:pic>
          <xdr:nvPicPr>
            <xdr:cNvPr id="103" name="Picture 102">
              <a:hlinkClick xmlns:r="http://schemas.openxmlformats.org/officeDocument/2006/relationships" r:id="rId64" tooltip="Go to monthly input"/>
            </xdr:cNvPr>
            <xdr:cNvPicPr>
              <a:picLocks noChangeAspect="1"/>
              <a:extLst>
                <a:ext uri="{84589F7E-364E-4C9E-8A38-B11213B215E9}">
                  <a14:cameraTool cellRange="Picture" spid="_x0000_s15053"/>
                </a:ext>
              </a:extLst>
            </xdr:cNvPicPr>
          </xdr:nvPicPr>
          <xdr:blipFill>
            <a:blip xmlns:r="http://schemas.openxmlformats.org/officeDocument/2006/relationships" r:embed="rId9"/>
            <a:stretch>
              <a:fillRect/>
            </a:stretch>
          </xdr:blipFill>
          <xdr:spPr>
            <a:xfrm>
              <a:off x="6102359" y="257365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190</xdr:row>
          <xdr:rowOff>0</xdr:rowOff>
        </xdr:from>
        <xdr:to>
          <xdr:col>4</xdr:col>
          <xdr:colOff>323351</xdr:colOff>
          <xdr:row>191</xdr:row>
          <xdr:rowOff>2668</xdr:rowOff>
        </xdr:to>
        <xdr:pic>
          <xdr:nvPicPr>
            <xdr:cNvPr id="104" name="Picture 103">
              <a:hlinkClick xmlns:r="http://schemas.openxmlformats.org/officeDocument/2006/relationships" r:id="rId65" tooltip="Go to monthly input"/>
            </xdr:cNvPr>
            <xdr:cNvPicPr>
              <a:picLocks noChangeAspect="1"/>
              <a:extLst>
                <a:ext uri="{84589F7E-364E-4C9E-8A38-B11213B215E9}">
                  <a14:cameraTool cellRange="Picture" spid="_x0000_s15054"/>
                </a:ext>
              </a:extLst>
            </xdr:cNvPicPr>
          </xdr:nvPicPr>
          <xdr:blipFill>
            <a:blip xmlns:r="http://schemas.openxmlformats.org/officeDocument/2006/relationships" r:embed="rId9"/>
            <a:stretch>
              <a:fillRect/>
            </a:stretch>
          </xdr:blipFill>
          <xdr:spPr>
            <a:xfrm>
              <a:off x="6102359" y="258984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191</xdr:row>
          <xdr:rowOff>0</xdr:rowOff>
        </xdr:from>
        <xdr:to>
          <xdr:col>4</xdr:col>
          <xdr:colOff>323351</xdr:colOff>
          <xdr:row>192</xdr:row>
          <xdr:rowOff>2667</xdr:rowOff>
        </xdr:to>
        <xdr:pic>
          <xdr:nvPicPr>
            <xdr:cNvPr id="105" name="Picture 104">
              <a:hlinkClick xmlns:r="http://schemas.openxmlformats.org/officeDocument/2006/relationships" r:id="rId66" tooltip="Go to monthly input"/>
            </xdr:cNvPr>
            <xdr:cNvPicPr>
              <a:picLocks noChangeAspect="1"/>
              <a:extLst>
                <a:ext uri="{84589F7E-364E-4C9E-8A38-B11213B215E9}">
                  <a14:cameraTool cellRange="Picture" spid="_x0000_s15055"/>
                </a:ext>
              </a:extLst>
            </xdr:cNvPicPr>
          </xdr:nvPicPr>
          <xdr:blipFill>
            <a:blip xmlns:r="http://schemas.openxmlformats.org/officeDocument/2006/relationships" r:embed="rId9"/>
            <a:stretch>
              <a:fillRect/>
            </a:stretch>
          </xdr:blipFill>
          <xdr:spPr>
            <a:xfrm>
              <a:off x="6102359" y="260604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194</xdr:row>
          <xdr:rowOff>0</xdr:rowOff>
        </xdr:from>
        <xdr:to>
          <xdr:col>4</xdr:col>
          <xdr:colOff>323351</xdr:colOff>
          <xdr:row>195</xdr:row>
          <xdr:rowOff>2667</xdr:rowOff>
        </xdr:to>
        <xdr:pic>
          <xdr:nvPicPr>
            <xdr:cNvPr id="106" name="Picture 105">
              <a:hlinkClick xmlns:r="http://schemas.openxmlformats.org/officeDocument/2006/relationships" r:id="rId67" tooltip="Go to monthly input"/>
            </xdr:cNvPr>
            <xdr:cNvPicPr>
              <a:picLocks noChangeAspect="1"/>
              <a:extLst>
                <a:ext uri="{84589F7E-364E-4C9E-8A38-B11213B215E9}">
                  <a14:cameraTool cellRange="Picture" spid="_x0000_s15056"/>
                </a:ext>
              </a:extLst>
            </xdr:cNvPicPr>
          </xdr:nvPicPr>
          <xdr:blipFill>
            <a:blip xmlns:r="http://schemas.openxmlformats.org/officeDocument/2006/relationships" r:embed="rId9"/>
            <a:stretch>
              <a:fillRect/>
            </a:stretch>
          </xdr:blipFill>
          <xdr:spPr>
            <a:xfrm>
              <a:off x="6102359" y="265461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195</xdr:row>
          <xdr:rowOff>0</xdr:rowOff>
        </xdr:from>
        <xdr:to>
          <xdr:col>4</xdr:col>
          <xdr:colOff>323351</xdr:colOff>
          <xdr:row>196</xdr:row>
          <xdr:rowOff>2666</xdr:rowOff>
        </xdr:to>
        <xdr:pic>
          <xdr:nvPicPr>
            <xdr:cNvPr id="107" name="Picture 106">
              <a:hlinkClick xmlns:r="http://schemas.openxmlformats.org/officeDocument/2006/relationships" r:id="rId68" tooltip="Go to monthly input"/>
            </xdr:cNvPr>
            <xdr:cNvPicPr>
              <a:picLocks noChangeAspect="1"/>
              <a:extLst>
                <a:ext uri="{84589F7E-364E-4C9E-8A38-B11213B215E9}">
                  <a14:cameraTool cellRange="Picture" spid="_x0000_s15057"/>
                </a:ext>
              </a:extLst>
            </xdr:cNvPicPr>
          </xdr:nvPicPr>
          <xdr:blipFill>
            <a:blip xmlns:r="http://schemas.openxmlformats.org/officeDocument/2006/relationships" r:embed="rId9"/>
            <a:stretch>
              <a:fillRect/>
            </a:stretch>
          </xdr:blipFill>
          <xdr:spPr>
            <a:xfrm>
              <a:off x="6102359" y="26708100"/>
              <a:ext cx="164592" cy="164592"/>
            </a:xfrm>
            <a:prstGeom prst="rect">
              <a:avLst/>
            </a:prstGeom>
          </xdr:spPr>
        </xdr:pic>
        <xdr:clientData fPrintsWithSheet="0"/>
      </xdr:twoCellAnchor>
    </mc:Choice>
    <mc:Fallback/>
  </mc:AlternateContent>
  <xdr:oneCellAnchor>
    <xdr:from>
      <xdr:col>1</xdr:col>
      <xdr:colOff>28576</xdr:colOff>
      <xdr:row>100</xdr:row>
      <xdr:rowOff>50506</xdr:rowOff>
    </xdr:from>
    <xdr:ext cx="685800" cy="685800"/>
    <xdr:pic>
      <xdr:nvPicPr>
        <xdr:cNvPr id="94" name="Picture 93"/>
        <xdr:cNvPicPr>
          <a:picLocks noChangeAspect="1"/>
        </xdr:cNvPicPr>
      </xdr:nvPicPr>
      <xdr:blipFill>
        <a:blip xmlns:r="http://schemas.openxmlformats.org/officeDocument/2006/relationships" r:embed="rId69">
          <a:extLst>
            <a:ext uri="{28A0092B-C50C-407E-A947-70E740481C1C}">
              <a14:useLocalDpi xmlns:a14="http://schemas.microsoft.com/office/drawing/2010/main" val="0"/>
            </a:ext>
          </a:extLst>
        </a:blip>
        <a:stretch>
          <a:fillRect/>
        </a:stretch>
      </xdr:blipFill>
      <xdr:spPr>
        <a:xfrm>
          <a:off x="28576" y="9156406"/>
          <a:ext cx="685800" cy="685800"/>
        </a:xfrm>
        <a:prstGeom prst="rect">
          <a:avLst/>
        </a:prstGeom>
      </xdr:spPr>
    </xdr:pic>
    <xdr:clientData/>
  </xdr:oneCellAnchor>
  <xdr:oneCellAnchor>
    <xdr:from>
      <xdr:col>1</xdr:col>
      <xdr:colOff>28576</xdr:colOff>
      <xdr:row>159</xdr:row>
      <xdr:rowOff>50506</xdr:rowOff>
    </xdr:from>
    <xdr:ext cx="685800" cy="685800"/>
    <xdr:pic>
      <xdr:nvPicPr>
        <xdr:cNvPr id="95" name="Picture 94"/>
        <xdr:cNvPicPr>
          <a:picLocks noChangeAspect="1"/>
        </xdr:cNvPicPr>
      </xdr:nvPicPr>
      <xdr:blipFill>
        <a:blip xmlns:r="http://schemas.openxmlformats.org/officeDocument/2006/relationships" r:embed="rId69">
          <a:extLst>
            <a:ext uri="{28A0092B-C50C-407E-A947-70E740481C1C}">
              <a14:useLocalDpi xmlns:a14="http://schemas.microsoft.com/office/drawing/2010/main" val="0"/>
            </a:ext>
          </a:extLst>
        </a:blip>
        <a:stretch>
          <a:fillRect/>
        </a:stretch>
      </xdr:blipFill>
      <xdr:spPr>
        <a:xfrm>
          <a:off x="28576" y="17005006"/>
          <a:ext cx="685800" cy="6858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158759</xdr:colOff>
          <xdr:row>149</xdr:row>
          <xdr:rowOff>0</xdr:rowOff>
        </xdr:from>
        <xdr:to>
          <xdr:col>4</xdr:col>
          <xdr:colOff>323351</xdr:colOff>
          <xdr:row>150</xdr:row>
          <xdr:rowOff>2668</xdr:rowOff>
        </xdr:to>
        <xdr:pic>
          <xdr:nvPicPr>
            <xdr:cNvPr id="108" name="Picture 107">
              <a:hlinkClick xmlns:r="http://schemas.openxmlformats.org/officeDocument/2006/relationships" r:id="rId70" tooltip="Go to monthly input"/>
            </xdr:cNvPr>
            <xdr:cNvPicPr>
              <a:picLocks noChangeAspect="1"/>
              <a:extLst>
                <a:ext uri="{84589F7E-364E-4C9E-8A38-B11213B215E9}">
                  <a14:cameraTool cellRange="Picture" spid="_x0000_s15058"/>
                </a:ext>
              </a:extLst>
            </xdr:cNvPicPr>
          </xdr:nvPicPr>
          <xdr:blipFill>
            <a:blip xmlns:r="http://schemas.openxmlformats.org/officeDocument/2006/relationships" r:embed="rId9"/>
            <a:stretch>
              <a:fillRect/>
            </a:stretch>
          </xdr:blipFill>
          <xdr:spPr>
            <a:xfrm>
              <a:off x="6102359" y="199167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151</xdr:row>
          <xdr:rowOff>0</xdr:rowOff>
        </xdr:from>
        <xdr:to>
          <xdr:col>4</xdr:col>
          <xdr:colOff>323351</xdr:colOff>
          <xdr:row>152</xdr:row>
          <xdr:rowOff>2666</xdr:rowOff>
        </xdr:to>
        <xdr:pic>
          <xdr:nvPicPr>
            <xdr:cNvPr id="109" name="Picture 108">
              <a:hlinkClick xmlns:r="http://schemas.openxmlformats.org/officeDocument/2006/relationships" r:id="rId71" tooltip="Go to monthly input"/>
            </xdr:cNvPr>
            <xdr:cNvPicPr>
              <a:picLocks noChangeAspect="1"/>
              <a:extLst>
                <a:ext uri="{84589F7E-364E-4C9E-8A38-B11213B215E9}">
                  <a14:cameraTool cellRange="Picture" spid="_x0000_s15059"/>
                </a:ext>
              </a:extLst>
            </xdr:cNvPicPr>
          </xdr:nvPicPr>
          <xdr:blipFill>
            <a:blip xmlns:r="http://schemas.openxmlformats.org/officeDocument/2006/relationships" r:embed="rId9"/>
            <a:stretch>
              <a:fillRect/>
            </a:stretch>
          </xdr:blipFill>
          <xdr:spPr>
            <a:xfrm>
              <a:off x="6102359" y="202406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oneCellAnchor>
        <xdr:from>
          <xdr:col>4</xdr:col>
          <xdr:colOff>158759</xdr:colOff>
          <xdr:row>127</xdr:row>
          <xdr:rowOff>0</xdr:rowOff>
        </xdr:from>
        <xdr:ext cx="164592" cy="167767"/>
        <xdr:pic>
          <xdr:nvPicPr>
            <xdr:cNvPr id="113" name="Picture 112">
              <a:hlinkClick xmlns:r="http://schemas.openxmlformats.org/officeDocument/2006/relationships" r:id="rId22" tooltip="Go to monthly input"/>
            </xdr:cNvPr>
            <xdr:cNvPicPr>
              <a:picLocks noChangeAspect="1"/>
              <a:extLst>
                <a:ext uri="{84589F7E-364E-4C9E-8A38-B11213B215E9}">
                  <a14:cameraTool cellRange="Picture" spid="_x0000_s15060"/>
                </a:ext>
              </a:extLst>
            </xdr:cNvPicPr>
          </xdr:nvPicPr>
          <xdr:blipFill>
            <a:blip xmlns:r="http://schemas.openxmlformats.org/officeDocument/2006/relationships" r:embed="rId9"/>
            <a:stretch>
              <a:fillRect/>
            </a:stretch>
          </xdr:blipFill>
          <xdr:spPr>
            <a:xfrm>
              <a:off x="6102359" y="10772775"/>
              <a:ext cx="164592" cy="167767"/>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138</xdr:row>
          <xdr:rowOff>0</xdr:rowOff>
        </xdr:from>
        <xdr:ext cx="164592" cy="164592"/>
        <xdr:pic>
          <xdr:nvPicPr>
            <xdr:cNvPr id="114" name="Picture 113">
              <a:hlinkClick xmlns:r="http://schemas.openxmlformats.org/officeDocument/2006/relationships" r:id="rId38" tooltip="Go to monthly input"/>
            </xdr:cNvPr>
            <xdr:cNvPicPr>
              <a:picLocks noChangeAspect="1"/>
              <a:extLst>
                <a:ext uri="{84589F7E-364E-4C9E-8A38-B11213B215E9}">
                  <a14:cameraTool cellRange="Picture" spid="_x0000_s15061"/>
                </a:ext>
              </a:extLst>
            </xdr:cNvPicPr>
          </xdr:nvPicPr>
          <xdr:blipFill>
            <a:blip xmlns:r="http://schemas.openxmlformats.org/officeDocument/2006/relationships" r:embed="rId9"/>
            <a:stretch>
              <a:fillRect/>
            </a:stretch>
          </xdr:blipFill>
          <xdr:spPr>
            <a:xfrm>
              <a:off x="6102359" y="18040350"/>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oneCellAnchor>
        <xdr:from>
          <xdr:col>4</xdr:col>
          <xdr:colOff>158759</xdr:colOff>
          <xdr:row>127</xdr:row>
          <xdr:rowOff>0</xdr:rowOff>
        </xdr:from>
        <xdr:ext cx="164592" cy="164592"/>
        <xdr:pic>
          <xdr:nvPicPr>
            <xdr:cNvPr id="123" name="Picture 122">
              <a:hlinkClick xmlns:r="http://schemas.openxmlformats.org/officeDocument/2006/relationships" r:id="rId31" tooltip="Go to monthly input"/>
            </xdr:cNvPr>
            <xdr:cNvPicPr>
              <a:picLocks noChangeAspect="1"/>
              <a:extLst>
                <a:ext uri="{84589F7E-364E-4C9E-8A38-B11213B215E9}">
                  <a14:cameraTool cellRange="Picture" spid="_x0000_s15062"/>
                </a:ext>
              </a:extLst>
            </xdr:cNvPicPr>
          </xdr:nvPicPr>
          <xdr:blipFill>
            <a:blip xmlns:r="http://schemas.openxmlformats.org/officeDocument/2006/relationships" r:embed="rId9"/>
            <a:stretch>
              <a:fillRect/>
            </a:stretch>
          </xdr:blipFill>
          <xdr:spPr>
            <a:xfrm>
              <a:off x="6102359" y="16773525"/>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136</xdr:row>
          <xdr:rowOff>0</xdr:rowOff>
        </xdr:from>
        <xdr:to>
          <xdr:col>4</xdr:col>
          <xdr:colOff>323351</xdr:colOff>
          <xdr:row>137</xdr:row>
          <xdr:rowOff>2666</xdr:rowOff>
        </xdr:to>
        <xdr:pic>
          <xdr:nvPicPr>
            <xdr:cNvPr id="124" name="Picture 123">
              <a:hlinkClick xmlns:r="http://schemas.openxmlformats.org/officeDocument/2006/relationships" r:id="rId72" tooltip="Go to monthly input"/>
            </xdr:cNvPr>
            <xdr:cNvPicPr>
              <a:picLocks noChangeAspect="1"/>
              <a:extLst>
                <a:ext uri="{84589F7E-364E-4C9E-8A38-B11213B215E9}">
                  <a14:cameraTool cellRange="Picture" spid="_x0000_s15063"/>
                </a:ext>
              </a:extLst>
            </xdr:cNvPicPr>
          </xdr:nvPicPr>
          <xdr:blipFill>
            <a:blip xmlns:r="http://schemas.openxmlformats.org/officeDocument/2006/relationships" r:embed="rId9"/>
            <a:stretch>
              <a:fillRect/>
            </a:stretch>
          </xdr:blipFill>
          <xdr:spPr>
            <a:xfrm>
              <a:off x="6102359" y="181546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197</xdr:row>
          <xdr:rowOff>0</xdr:rowOff>
        </xdr:from>
        <xdr:to>
          <xdr:col>4</xdr:col>
          <xdr:colOff>323351</xdr:colOff>
          <xdr:row>198</xdr:row>
          <xdr:rowOff>2667</xdr:rowOff>
        </xdr:to>
        <xdr:pic>
          <xdr:nvPicPr>
            <xdr:cNvPr id="125" name="Picture 124">
              <a:hlinkClick xmlns:r="http://schemas.openxmlformats.org/officeDocument/2006/relationships" r:id="rId73" tooltip="Go to monthly input"/>
            </xdr:cNvPr>
            <xdr:cNvPicPr>
              <a:picLocks noChangeAspect="1"/>
              <a:extLst>
                <a:ext uri="{84589F7E-364E-4C9E-8A38-B11213B215E9}">
                  <a14:cameraTool cellRange="Picture" spid="_x0000_s15064"/>
                </a:ext>
              </a:extLst>
            </xdr:cNvPicPr>
          </xdr:nvPicPr>
          <xdr:blipFill>
            <a:blip xmlns:r="http://schemas.openxmlformats.org/officeDocument/2006/relationships" r:embed="rId9"/>
            <a:stretch>
              <a:fillRect/>
            </a:stretch>
          </xdr:blipFill>
          <xdr:spPr>
            <a:xfrm>
              <a:off x="6102359" y="270319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198</xdr:row>
          <xdr:rowOff>0</xdr:rowOff>
        </xdr:from>
        <xdr:to>
          <xdr:col>4</xdr:col>
          <xdr:colOff>323351</xdr:colOff>
          <xdr:row>199</xdr:row>
          <xdr:rowOff>2666</xdr:rowOff>
        </xdr:to>
        <xdr:pic>
          <xdr:nvPicPr>
            <xdr:cNvPr id="126" name="Picture 125">
              <a:hlinkClick xmlns:r="http://schemas.openxmlformats.org/officeDocument/2006/relationships" r:id="rId74" tooltip="Go to monthly input"/>
            </xdr:cNvPr>
            <xdr:cNvPicPr>
              <a:picLocks noChangeAspect="1"/>
              <a:extLst>
                <a:ext uri="{84589F7E-364E-4C9E-8A38-B11213B215E9}">
                  <a14:cameraTool cellRange="Picture" spid="_x0000_s15065"/>
                </a:ext>
              </a:extLst>
            </xdr:cNvPicPr>
          </xdr:nvPicPr>
          <xdr:blipFill>
            <a:blip xmlns:r="http://schemas.openxmlformats.org/officeDocument/2006/relationships" r:embed="rId9"/>
            <a:stretch>
              <a:fillRect/>
            </a:stretch>
          </xdr:blipFill>
          <xdr:spPr>
            <a:xfrm>
              <a:off x="6569907" y="26444222"/>
              <a:ext cx="164592" cy="162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171</xdr:row>
          <xdr:rowOff>0</xdr:rowOff>
        </xdr:from>
        <xdr:to>
          <xdr:col>4</xdr:col>
          <xdr:colOff>323351</xdr:colOff>
          <xdr:row>172</xdr:row>
          <xdr:rowOff>2666</xdr:rowOff>
        </xdr:to>
        <xdr:pic>
          <xdr:nvPicPr>
            <xdr:cNvPr id="127" name="Picture 126">
              <a:hlinkClick xmlns:r="http://schemas.openxmlformats.org/officeDocument/2006/relationships" r:id="rId75" tooltip="Go to monthly input"/>
            </xdr:cNvPr>
            <xdr:cNvPicPr>
              <a:picLocks noChangeAspect="1"/>
              <a:extLst>
                <a:ext uri="{84589F7E-364E-4C9E-8A38-B11213B215E9}">
                  <a14:cameraTool cellRange="Picture" spid="_x0000_s15066"/>
                </a:ext>
              </a:extLst>
            </xdr:cNvPicPr>
          </xdr:nvPicPr>
          <xdr:blipFill>
            <a:blip xmlns:r="http://schemas.openxmlformats.org/officeDocument/2006/relationships" r:embed="rId9"/>
            <a:stretch>
              <a:fillRect/>
            </a:stretch>
          </xdr:blipFill>
          <xdr:spPr>
            <a:xfrm>
              <a:off x="6102359" y="228981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172</xdr:row>
          <xdr:rowOff>0</xdr:rowOff>
        </xdr:from>
        <xdr:to>
          <xdr:col>4</xdr:col>
          <xdr:colOff>323351</xdr:colOff>
          <xdr:row>173</xdr:row>
          <xdr:rowOff>2668</xdr:rowOff>
        </xdr:to>
        <xdr:pic>
          <xdr:nvPicPr>
            <xdr:cNvPr id="128" name="Picture 127">
              <a:hlinkClick xmlns:r="http://schemas.openxmlformats.org/officeDocument/2006/relationships" r:id="rId76" tooltip="Go to monthly input"/>
            </xdr:cNvPr>
            <xdr:cNvPicPr>
              <a:picLocks noChangeAspect="1"/>
              <a:extLst>
                <a:ext uri="{84589F7E-364E-4C9E-8A38-B11213B215E9}">
                  <a14:cameraTool cellRange="Picture" spid="_x0000_s15067"/>
                </a:ext>
              </a:extLst>
            </xdr:cNvPicPr>
          </xdr:nvPicPr>
          <xdr:blipFill>
            <a:blip xmlns:r="http://schemas.openxmlformats.org/officeDocument/2006/relationships" r:embed="rId9"/>
            <a:stretch>
              <a:fillRect/>
            </a:stretch>
          </xdr:blipFill>
          <xdr:spPr>
            <a:xfrm>
              <a:off x="6102359" y="230600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150</xdr:row>
          <xdr:rowOff>0</xdr:rowOff>
        </xdr:from>
        <xdr:to>
          <xdr:col>4</xdr:col>
          <xdr:colOff>323351</xdr:colOff>
          <xdr:row>151</xdr:row>
          <xdr:rowOff>2667</xdr:rowOff>
        </xdr:to>
        <xdr:pic>
          <xdr:nvPicPr>
            <xdr:cNvPr id="129" name="Picture 128">
              <a:hlinkClick xmlns:r="http://schemas.openxmlformats.org/officeDocument/2006/relationships" r:id="rId77" tooltip="Go to monthly input"/>
            </xdr:cNvPr>
            <xdr:cNvPicPr>
              <a:picLocks noChangeAspect="1"/>
              <a:extLst>
                <a:ext uri="{84589F7E-364E-4C9E-8A38-B11213B215E9}">
                  <a14:cameraTool cellRange="Picture" spid="_x0000_s15068"/>
                </a:ext>
              </a:extLst>
            </xdr:cNvPicPr>
          </xdr:nvPicPr>
          <xdr:blipFill>
            <a:blip xmlns:r="http://schemas.openxmlformats.org/officeDocument/2006/relationships" r:embed="rId9"/>
            <a:stretch>
              <a:fillRect/>
            </a:stretch>
          </xdr:blipFill>
          <xdr:spPr>
            <a:xfrm>
              <a:off x="6102359" y="20078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91</xdr:row>
          <xdr:rowOff>0</xdr:rowOff>
        </xdr:from>
        <xdr:to>
          <xdr:col>4</xdr:col>
          <xdr:colOff>323351</xdr:colOff>
          <xdr:row>92</xdr:row>
          <xdr:rowOff>16426</xdr:rowOff>
        </xdr:to>
        <xdr:pic>
          <xdr:nvPicPr>
            <xdr:cNvPr id="130" name="Picture 129">
              <a:hlinkClick xmlns:r="http://schemas.openxmlformats.org/officeDocument/2006/relationships" r:id="rId78" tooltip="Go to monthly input"/>
            </xdr:cNvPr>
            <xdr:cNvPicPr>
              <a:picLocks noChangeAspect="1"/>
              <a:extLst>
                <a:ext uri="{84589F7E-364E-4C9E-8A38-B11213B215E9}">
                  <a14:cameraTool cellRange="Picture" spid="_x0000_s15069"/>
                </a:ext>
              </a:extLst>
            </xdr:cNvPicPr>
          </xdr:nvPicPr>
          <xdr:blipFill>
            <a:blip xmlns:r="http://schemas.openxmlformats.org/officeDocument/2006/relationships" r:embed="rId9"/>
            <a:stretch>
              <a:fillRect/>
            </a:stretch>
          </xdr:blipFill>
          <xdr:spPr>
            <a:xfrm>
              <a:off x="6530984" y="8224838"/>
              <a:ext cx="164592" cy="16776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53</xdr:row>
          <xdr:rowOff>0</xdr:rowOff>
        </xdr:from>
        <xdr:to>
          <xdr:col>4</xdr:col>
          <xdr:colOff>323351</xdr:colOff>
          <xdr:row>54</xdr:row>
          <xdr:rowOff>12252</xdr:rowOff>
        </xdr:to>
        <xdr:pic>
          <xdr:nvPicPr>
            <xdr:cNvPr id="131" name="Picture 130">
              <a:hlinkClick xmlns:r="http://schemas.openxmlformats.org/officeDocument/2006/relationships" r:id="rId79" tooltip="Go to monthly input"/>
            </xdr:cNvPr>
            <xdr:cNvPicPr>
              <a:picLocks noChangeAspect="1"/>
              <a:extLst>
                <a:ext uri="{84589F7E-364E-4C9E-8A38-B11213B215E9}">
                  <a14:cameraTool cellRange="Picture" spid="_x0000_s15070"/>
                </a:ext>
              </a:extLst>
            </xdr:cNvPicPr>
          </xdr:nvPicPr>
          <xdr:blipFill>
            <a:blip xmlns:r="http://schemas.openxmlformats.org/officeDocument/2006/relationships" r:embed="rId9"/>
            <a:stretch>
              <a:fillRect/>
            </a:stretch>
          </xdr:blipFill>
          <xdr:spPr>
            <a:xfrm>
              <a:off x="6102359" y="7058025"/>
              <a:ext cx="164592" cy="16465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46</xdr:row>
          <xdr:rowOff>0</xdr:rowOff>
        </xdr:from>
        <xdr:to>
          <xdr:col>4</xdr:col>
          <xdr:colOff>323351</xdr:colOff>
          <xdr:row>47</xdr:row>
          <xdr:rowOff>12255</xdr:rowOff>
        </xdr:to>
        <xdr:pic>
          <xdr:nvPicPr>
            <xdr:cNvPr id="132" name="Picture 131">
              <a:hlinkClick xmlns:r="http://schemas.openxmlformats.org/officeDocument/2006/relationships" r:id="rId80" tooltip="Go to monthly input"/>
            </xdr:cNvPr>
            <xdr:cNvPicPr>
              <a:picLocks noChangeAspect="1"/>
              <a:extLst>
                <a:ext uri="{84589F7E-364E-4C9E-8A38-B11213B215E9}">
                  <a14:cameraTool cellRange="Picture" spid="_x0000_s15071"/>
                </a:ext>
              </a:extLst>
            </xdr:cNvPicPr>
          </xdr:nvPicPr>
          <xdr:blipFill>
            <a:blip xmlns:r="http://schemas.openxmlformats.org/officeDocument/2006/relationships" r:embed="rId9"/>
            <a:stretch>
              <a:fillRect/>
            </a:stretch>
          </xdr:blipFill>
          <xdr:spPr>
            <a:xfrm>
              <a:off x="6102359" y="5772150"/>
              <a:ext cx="164592" cy="16465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54</xdr:row>
          <xdr:rowOff>0</xdr:rowOff>
        </xdr:from>
        <xdr:to>
          <xdr:col>4</xdr:col>
          <xdr:colOff>323351</xdr:colOff>
          <xdr:row>55</xdr:row>
          <xdr:rowOff>13749</xdr:rowOff>
        </xdr:to>
        <xdr:pic>
          <xdr:nvPicPr>
            <xdr:cNvPr id="134" name="Picture 133">
              <a:hlinkClick xmlns:r="http://schemas.openxmlformats.org/officeDocument/2006/relationships" r:id="rId81" tooltip="Go to monthly input"/>
            </xdr:cNvPr>
            <xdr:cNvPicPr>
              <a:picLocks noChangeAspect="1"/>
              <a:extLst>
                <a:ext uri="{84589F7E-364E-4C9E-8A38-B11213B215E9}">
                  <a14:cameraTool cellRange="Picture" spid="_x0000_s15072"/>
                </a:ext>
              </a:extLst>
            </xdr:cNvPicPr>
          </xdr:nvPicPr>
          <xdr:blipFill>
            <a:blip xmlns:r="http://schemas.openxmlformats.org/officeDocument/2006/relationships" r:embed="rId9"/>
            <a:stretch>
              <a:fillRect/>
            </a:stretch>
          </xdr:blipFill>
          <xdr:spPr>
            <a:xfrm>
              <a:off x="6102359" y="7219950"/>
              <a:ext cx="164592" cy="16614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32</xdr:row>
          <xdr:rowOff>0</xdr:rowOff>
        </xdr:from>
        <xdr:to>
          <xdr:col>4</xdr:col>
          <xdr:colOff>323351</xdr:colOff>
          <xdr:row>33</xdr:row>
          <xdr:rowOff>12254</xdr:rowOff>
        </xdr:to>
        <xdr:pic>
          <xdr:nvPicPr>
            <xdr:cNvPr id="135" name="Picture 134">
              <a:hlinkClick xmlns:r="http://schemas.openxmlformats.org/officeDocument/2006/relationships" r:id="rId82" tooltip="Go to monthly input"/>
            </xdr:cNvPr>
            <xdr:cNvPicPr>
              <a:picLocks noChangeAspect="1"/>
              <a:extLst>
                <a:ext uri="{84589F7E-364E-4C9E-8A38-B11213B215E9}">
                  <a14:cameraTool cellRange="Picture" spid="_x0000_s15073"/>
                </a:ext>
              </a:extLst>
            </xdr:cNvPicPr>
          </xdr:nvPicPr>
          <xdr:blipFill>
            <a:blip xmlns:r="http://schemas.openxmlformats.org/officeDocument/2006/relationships" r:embed="rId9"/>
            <a:stretch>
              <a:fillRect/>
            </a:stretch>
          </xdr:blipFill>
          <xdr:spPr>
            <a:xfrm>
              <a:off x="6102359" y="35052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37</xdr:row>
          <xdr:rowOff>0</xdr:rowOff>
        </xdr:from>
        <xdr:to>
          <xdr:col>4</xdr:col>
          <xdr:colOff>323351</xdr:colOff>
          <xdr:row>38</xdr:row>
          <xdr:rowOff>12253</xdr:rowOff>
        </xdr:to>
        <xdr:pic>
          <xdr:nvPicPr>
            <xdr:cNvPr id="136" name="Picture 135">
              <a:hlinkClick xmlns:r="http://schemas.openxmlformats.org/officeDocument/2006/relationships" r:id="rId83" tooltip="Go to monthly input"/>
            </xdr:cNvPr>
            <xdr:cNvPicPr>
              <a:picLocks noChangeAspect="1"/>
              <a:extLst>
                <a:ext uri="{84589F7E-364E-4C9E-8A38-B11213B215E9}">
                  <a14:cameraTool cellRange="Picture" spid="_x0000_s15074"/>
                </a:ext>
              </a:extLst>
            </xdr:cNvPicPr>
          </xdr:nvPicPr>
          <xdr:blipFill>
            <a:blip xmlns:r="http://schemas.openxmlformats.org/officeDocument/2006/relationships" r:embed="rId9"/>
            <a:stretch>
              <a:fillRect/>
            </a:stretch>
          </xdr:blipFill>
          <xdr:spPr>
            <a:xfrm>
              <a:off x="6102359" y="4314825"/>
              <a:ext cx="164592" cy="16465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36</xdr:row>
          <xdr:rowOff>0</xdr:rowOff>
        </xdr:from>
        <xdr:to>
          <xdr:col>4</xdr:col>
          <xdr:colOff>323351</xdr:colOff>
          <xdr:row>37</xdr:row>
          <xdr:rowOff>12255</xdr:rowOff>
        </xdr:to>
        <xdr:pic>
          <xdr:nvPicPr>
            <xdr:cNvPr id="137" name="Picture 136">
              <a:hlinkClick xmlns:r="http://schemas.openxmlformats.org/officeDocument/2006/relationships" r:id="rId84" tooltip="Go to monthly input"/>
            </xdr:cNvPr>
            <xdr:cNvPicPr>
              <a:picLocks noChangeAspect="1"/>
              <a:extLst>
                <a:ext uri="{84589F7E-364E-4C9E-8A38-B11213B215E9}">
                  <a14:cameraTool cellRange="Picture" spid="_x0000_s15075"/>
                </a:ext>
              </a:extLst>
            </xdr:cNvPicPr>
          </xdr:nvPicPr>
          <xdr:blipFill>
            <a:blip xmlns:r="http://schemas.openxmlformats.org/officeDocument/2006/relationships" r:embed="rId9"/>
            <a:stretch>
              <a:fillRect/>
            </a:stretch>
          </xdr:blipFill>
          <xdr:spPr>
            <a:xfrm>
              <a:off x="6102359" y="4152900"/>
              <a:ext cx="164592" cy="16465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oneCellAnchor>
        <xdr:from>
          <xdr:col>4</xdr:col>
          <xdr:colOff>158759</xdr:colOff>
          <xdr:row>126</xdr:row>
          <xdr:rowOff>0</xdr:rowOff>
        </xdr:from>
        <xdr:ext cx="164592" cy="164592"/>
        <xdr:pic>
          <xdr:nvPicPr>
            <xdr:cNvPr id="139" name="Picture 138">
              <a:hlinkClick xmlns:r="http://schemas.openxmlformats.org/officeDocument/2006/relationships" r:id="rId85" tooltip="Go to monthly input"/>
            </xdr:cNvPr>
            <xdr:cNvPicPr>
              <a:picLocks noChangeAspect="1"/>
              <a:extLst>
                <a:ext uri="{84589F7E-364E-4C9E-8A38-B11213B215E9}">
                  <a14:cameraTool cellRange="Picture" spid="_x0000_s15076"/>
                </a:ext>
              </a:extLst>
            </xdr:cNvPicPr>
          </xdr:nvPicPr>
          <xdr:blipFill>
            <a:blip xmlns:r="http://schemas.openxmlformats.org/officeDocument/2006/relationships" r:embed="rId9"/>
            <a:stretch>
              <a:fillRect/>
            </a:stretch>
          </xdr:blipFill>
          <xdr:spPr>
            <a:xfrm>
              <a:off x="6102359" y="16611600"/>
              <a:ext cx="164592" cy="164592"/>
            </a:xfrm>
            <a:prstGeom prst="rect">
              <a:avLst/>
            </a:prstGeom>
          </xdr:spPr>
        </xdr:pic>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108</xdr:row>
          <xdr:rowOff>0</xdr:rowOff>
        </xdr:from>
        <xdr:to>
          <xdr:col>4</xdr:col>
          <xdr:colOff>323351</xdr:colOff>
          <xdr:row>109</xdr:row>
          <xdr:rowOff>2667</xdr:rowOff>
        </xdr:to>
        <xdr:pic>
          <xdr:nvPicPr>
            <xdr:cNvPr id="119" name="Picture 118">
              <a:hlinkClick xmlns:r="http://schemas.openxmlformats.org/officeDocument/2006/relationships" r:id="rId86" tooltip="Go to monthly input"/>
            </xdr:cNvPr>
            <xdr:cNvPicPr>
              <a:picLocks noChangeAspect="1"/>
              <a:extLst>
                <a:ext uri="{84589F7E-364E-4C9E-8A38-B11213B215E9}">
                  <a14:cameraTool cellRange="Picture" spid="_x0000_s15077"/>
                </a:ext>
              </a:extLst>
            </xdr:cNvPicPr>
          </xdr:nvPicPr>
          <xdr:blipFill>
            <a:blip xmlns:r="http://schemas.openxmlformats.org/officeDocument/2006/relationships" r:embed="rId9"/>
            <a:stretch>
              <a:fillRect/>
            </a:stretch>
          </xdr:blipFill>
          <xdr:spPr>
            <a:xfrm>
              <a:off x="6102359" y="1393507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109</xdr:row>
          <xdr:rowOff>0</xdr:rowOff>
        </xdr:from>
        <xdr:to>
          <xdr:col>4</xdr:col>
          <xdr:colOff>323351</xdr:colOff>
          <xdr:row>110</xdr:row>
          <xdr:rowOff>2666</xdr:rowOff>
        </xdr:to>
        <xdr:pic>
          <xdr:nvPicPr>
            <xdr:cNvPr id="120" name="Picture 119">
              <a:hlinkClick xmlns:r="http://schemas.openxmlformats.org/officeDocument/2006/relationships" r:id="rId87" tooltip="Go to monthly input"/>
            </xdr:cNvPr>
            <xdr:cNvPicPr>
              <a:picLocks noChangeAspect="1"/>
              <a:extLst>
                <a:ext uri="{84589F7E-364E-4C9E-8A38-B11213B215E9}">
                  <a14:cameraTool cellRange="Picture" spid="_x0000_s15078"/>
                </a:ext>
              </a:extLst>
            </xdr:cNvPicPr>
          </xdr:nvPicPr>
          <xdr:blipFill>
            <a:blip xmlns:r="http://schemas.openxmlformats.org/officeDocument/2006/relationships" r:embed="rId9"/>
            <a:stretch>
              <a:fillRect/>
            </a:stretch>
          </xdr:blipFill>
          <xdr:spPr>
            <a:xfrm>
              <a:off x="6102359" y="140970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110</xdr:row>
          <xdr:rowOff>0</xdr:rowOff>
        </xdr:from>
        <xdr:to>
          <xdr:col>4</xdr:col>
          <xdr:colOff>323351</xdr:colOff>
          <xdr:row>111</xdr:row>
          <xdr:rowOff>2668</xdr:rowOff>
        </xdr:to>
        <xdr:pic>
          <xdr:nvPicPr>
            <xdr:cNvPr id="121" name="Picture 120">
              <a:hlinkClick xmlns:r="http://schemas.openxmlformats.org/officeDocument/2006/relationships" r:id="rId88" tooltip="Go to monthly input"/>
            </xdr:cNvPr>
            <xdr:cNvPicPr>
              <a:picLocks noChangeAspect="1"/>
              <a:extLst>
                <a:ext uri="{84589F7E-364E-4C9E-8A38-B11213B215E9}">
                  <a14:cameraTool cellRange="Picture" spid="_x0000_s15079"/>
                </a:ext>
              </a:extLst>
            </xdr:cNvPicPr>
          </xdr:nvPicPr>
          <xdr:blipFill>
            <a:blip xmlns:r="http://schemas.openxmlformats.org/officeDocument/2006/relationships" r:embed="rId9"/>
            <a:stretch>
              <a:fillRect/>
            </a:stretch>
          </xdr:blipFill>
          <xdr:spPr>
            <a:xfrm>
              <a:off x="6102359" y="14258925"/>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152</xdr:row>
          <xdr:rowOff>0</xdr:rowOff>
        </xdr:from>
        <xdr:to>
          <xdr:col>4</xdr:col>
          <xdr:colOff>323351</xdr:colOff>
          <xdr:row>153</xdr:row>
          <xdr:rowOff>2668</xdr:rowOff>
        </xdr:to>
        <xdr:pic>
          <xdr:nvPicPr>
            <xdr:cNvPr id="122" name="Picture 121">
              <a:hlinkClick xmlns:r="http://schemas.openxmlformats.org/officeDocument/2006/relationships" r:id="rId89" tooltip="Go to monthly input"/>
            </xdr:cNvPr>
            <xdr:cNvPicPr>
              <a:picLocks noChangeAspect="1"/>
              <a:extLst>
                <a:ext uri="{84589F7E-364E-4C9E-8A38-B11213B215E9}">
                  <a14:cameraTool cellRange="Picture" spid="_x0000_s15080"/>
                </a:ext>
              </a:extLst>
            </xdr:cNvPicPr>
          </xdr:nvPicPr>
          <xdr:blipFill>
            <a:blip xmlns:r="http://schemas.openxmlformats.org/officeDocument/2006/relationships" r:embed="rId9"/>
            <a:stretch>
              <a:fillRect/>
            </a:stretch>
          </xdr:blipFill>
          <xdr:spPr>
            <a:xfrm>
              <a:off x="6102359" y="2040255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xdr:row>
          <xdr:rowOff>0</xdr:rowOff>
        </xdr:from>
        <xdr:to>
          <xdr:col>4</xdr:col>
          <xdr:colOff>323351</xdr:colOff>
          <xdr:row>21</xdr:row>
          <xdr:rowOff>12192</xdr:rowOff>
        </xdr:to>
        <xdr:pic>
          <xdr:nvPicPr>
            <xdr:cNvPr id="115" name="Picture 114">
              <a:hlinkClick xmlns:r="http://schemas.openxmlformats.org/officeDocument/2006/relationships" r:id="rId90" tooltip="Go to monthly input"/>
            </xdr:cNvPr>
            <xdr:cNvPicPr>
              <a:picLocks noChangeAspect="1"/>
              <a:extLst>
                <a:ext uri="{84589F7E-364E-4C9E-8A38-B11213B215E9}">
                  <a14:cameraTool cellRange="Picture" spid="_x0000_s15081"/>
                </a:ext>
              </a:extLst>
            </xdr:cNvPicPr>
          </xdr:nvPicPr>
          <xdr:blipFill>
            <a:blip xmlns:r="http://schemas.openxmlformats.org/officeDocument/2006/relationships" r:embed="rId9"/>
            <a:stretch>
              <a:fillRect/>
            </a:stretch>
          </xdr:blipFill>
          <xdr:spPr>
            <a:xfrm>
              <a:off x="6530984" y="18049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21</xdr:row>
          <xdr:rowOff>0</xdr:rowOff>
        </xdr:from>
        <xdr:to>
          <xdr:col>4</xdr:col>
          <xdr:colOff>323351</xdr:colOff>
          <xdr:row>22</xdr:row>
          <xdr:rowOff>12192</xdr:rowOff>
        </xdr:to>
        <xdr:pic>
          <xdr:nvPicPr>
            <xdr:cNvPr id="116" name="Picture 115">
              <a:hlinkClick xmlns:r="http://schemas.openxmlformats.org/officeDocument/2006/relationships" r:id="rId91" tooltip="Go to monthly input"/>
            </xdr:cNvPr>
            <xdr:cNvPicPr>
              <a:picLocks noChangeAspect="1"/>
              <a:extLst>
                <a:ext uri="{84589F7E-364E-4C9E-8A38-B11213B215E9}">
                  <a14:cameraTool cellRange="Picture" spid="_x0000_s15082"/>
                </a:ext>
              </a:extLst>
            </xdr:cNvPicPr>
          </xdr:nvPicPr>
          <xdr:blipFill>
            <a:blip xmlns:r="http://schemas.openxmlformats.org/officeDocument/2006/relationships" r:embed="rId9"/>
            <a:stretch>
              <a:fillRect/>
            </a:stretch>
          </xdr:blipFill>
          <xdr:spPr>
            <a:xfrm>
              <a:off x="6530984" y="19573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23</xdr:row>
          <xdr:rowOff>0</xdr:rowOff>
        </xdr:from>
        <xdr:to>
          <xdr:col>4</xdr:col>
          <xdr:colOff>323351</xdr:colOff>
          <xdr:row>24</xdr:row>
          <xdr:rowOff>12192</xdr:rowOff>
        </xdr:to>
        <xdr:pic>
          <xdr:nvPicPr>
            <xdr:cNvPr id="117" name="Picture 116">
              <a:hlinkClick xmlns:r="http://schemas.openxmlformats.org/officeDocument/2006/relationships" r:id="rId92" tooltip="Go to monthly input"/>
            </xdr:cNvPr>
            <xdr:cNvPicPr>
              <a:picLocks noChangeAspect="1"/>
              <a:extLst>
                <a:ext uri="{84589F7E-364E-4C9E-8A38-B11213B215E9}">
                  <a14:cameraTool cellRange="Picture" spid="_x0000_s15083"/>
                </a:ext>
              </a:extLst>
            </xdr:cNvPicPr>
          </xdr:nvPicPr>
          <xdr:blipFill>
            <a:blip xmlns:r="http://schemas.openxmlformats.org/officeDocument/2006/relationships" r:embed="rId9"/>
            <a:stretch>
              <a:fillRect/>
            </a:stretch>
          </xdr:blipFill>
          <xdr:spPr>
            <a:xfrm>
              <a:off x="6530984" y="22621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24</xdr:row>
          <xdr:rowOff>0</xdr:rowOff>
        </xdr:from>
        <xdr:to>
          <xdr:col>4</xdr:col>
          <xdr:colOff>323351</xdr:colOff>
          <xdr:row>25</xdr:row>
          <xdr:rowOff>12192</xdr:rowOff>
        </xdr:to>
        <xdr:pic>
          <xdr:nvPicPr>
            <xdr:cNvPr id="118" name="Picture 117">
              <a:hlinkClick xmlns:r="http://schemas.openxmlformats.org/officeDocument/2006/relationships" r:id="rId93" tooltip="Go to monthly input"/>
            </xdr:cNvPr>
            <xdr:cNvPicPr>
              <a:picLocks noChangeAspect="1"/>
              <a:extLst>
                <a:ext uri="{84589F7E-364E-4C9E-8A38-B11213B215E9}">
                  <a14:cameraTool cellRange="Picture" spid="_x0000_s15084"/>
                </a:ext>
              </a:extLst>
            </xdr:cNvPicPr>
          </xdr:nvPicPr>
          <xdr:blipFill>
            <a:blip xmlns:r="http://schemas.openxmlformats.org/officeDocument/2006/relationships" r:embed="rId9"/>
            <a:stretch>
              <a:fillRect/>
            </a:stretch>
          </xdr:blipFill>
          <xdr:spPr>
            <a:xfrm>
              <a:off x="6530984" y="24145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25</xdr:row>
          <xdr:rowOff>0</xdr:rowOff>
        </xdr:from>
        <xdr:to>
          <xdr:col>4</xdr:col>
          <xdr:colOff>323351</xdr:colOff>
          <xdr:row>26</xdr:row>
          <xdr:rowOff>12192</xdr:rowOff>
        </xdr:to>
        <xdr:pic>
          <xdr:nvPicPr>
            <xdr:cNvPr id="138" name="Picture 137">
              <a:hlinkClick xmlns:r="http://schemas.openxmlformats.org/officeDocument/2006/relationships" r:id="rId94" tooltip="Go to monthly input"/>
            </xdr:cNvPr>
            <xdr:cNvPicPr>
              <a:picLocks noChangeAspect="1"/>
              <a:extLst>
                <a:ext uri="{84589F7E-364E-4C9E-8A38-B11213B215E9}">
                  <a14:cameraTool cellRange="Picture" spid="_x0000_s15085"/>
                </a:ext>
              </a:extLst>
            </xdr:cNvPicPr>
          </xdr:nvPicPr>
          <xdr:blipFill>
            <a:blip xmlns:r="http://schemas.openxmlformats.org/officeDocument/2006/relationships" r:embed="rId9"/>
            <a:stretch>
              <a:fillRect/>
            </a:stretch>
          </xdr:blipFill>
          <xdr:spPr>
            <a:xfrm>
              <a:off x="6530984" y="25669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26</xdr:row>
          <xdr:rowOff>0</xdr:rowOff>
        </xdr:from>
        <xdr:to>
          <xdr:col>4</xdr:col>
          <xdr:colOff>323351</xdr:colOff>
          <xdr:row>27</xdr:row>
          <xdr:rowOff>12192</xdr:rowOff>
        </xdr:to>
        <xdr:pic>
          <xdr:nvPicPr>
            <xdr:cNvPr id="140" name="Picture 139">
              <a:hlinkClick xmlns:r="http://schemas.openxmlformats.org/officeDocument/2006/relationships" r:id="rId95" tooltip="Go to monthly input"/>
            </xdr:cNvPr>
            <xdr:cNvPicPr>
              <a:picLocks noChangeAspect="1"/>
              <a:extLst>
                <a:ext uri="{84589F7E-364E-4C9E-8A38-B11213B215E9}">
                  <a14:cameraTool cellRange="Picture" spid="_x0000_s15086"/>
                </a:ext>
              </a:extLst>
            </xdr:cNvPicPr>
          </xdr:nvPicPr>
          <xdr:blipFill>
            <a:blip xmlns:r="http://schemas.openxmlformats.org/officeDocument/2006/relationships" r:embed="rId9"/>
            <a:stretch>
              <a:fillRect/>
            </a:stretch>
          </xdr:blipFill>
          <xdr:spPr>
            <a:xfrm>
              <a:off x="6530984" y="27193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27</xdr:row>
          <xdr:rowOff>0</xdr:rowOff>
        </xdr:from>
        <xdr:to>
          <xdr:col>4</xdr:col>
          <xdr:colOff>323351</xdr:colOff>
          <xdr:row>28</xdr:row>
          <xdr:rowOff>12192</xdr:rowOff>
        </xdr:to>
        <xdr:pic>
          <xdr:nvPicPr>
            <xdr:cNvPr id="144" name="Picture 143">
              <a:hlinkClick xmlns:r="http://schemas.openxmlformats.org/officeDocument/2006/relationships" r:id="rId96" tooltip="Go to monthly input"/>
            </xdr:cNvPr>
            <xdr:cNvPicPr>
              <a:picLocks noChangeAspect="1"/>
              <a:extLst>
                <a:ext uri="{84589F7E-364E-4C9E-8A38-B11213B215E9}">
                  <a14:cameraTool cellRange="Picture" spid="_x0000_s15087"/>
                </a:ext>
              </a:extLst>
            </xdr:cNvPicPr>
          </xdr:nvPicPr>
          <xdr:blipFill>
            <a:blip xmlns:r="http://schemas.openxmlformats.org/officeDocument/2006/relationships" r:embed="rId9"/>
            <a:stretch>
              <a:fillRect/>
            </a:stretch>
          </xdr:blipFill>
          <xdr:spPr>
            <a:xfrm>
              <a:off x="6530984" y="28717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94</xdr:row>
          <xdr:rowOff>0</xdr:rowOff>
        </xdr:from>
        <xdr:to>
          <xdr:col>4</xdr:col>
          <xdr:colOff>323351</xdr:colOff>
          <xdr:row>97</xdr:row>
          <xdr:rowOff>549</xdr:rowOff>
        </xdr:to>
        <xdr:pic>
          <xdr:nvPicPr>
            <xdr:cNvPr id="145" name="Picture 144">
              <a:hlinkClick xmlns:r="http://schemas.openxmlformats.org/officeDocument/2006/relationships" r:id="rId91" tooltip="Go to monthly input"/>
            </xdr:cNvPr>
            <xdr:cNvPicPr>
              <a:picLocks noChangeAspect="1"/>
              <a:extLst>
                <a:ext uri="{84589F7E-364E-4C9E-8A38-B11213B215E9}">
                  <a14:cameraTool cellRange="Picture" spid="_x0000_s15088"/>
                </a:ext>
              </a:extLst>
            </xdr:cNvPicPr>
          </xdr:nvPicPr>
          <xdr:blipFill>
            <a:blip xmlns:r="http://schemas.openxmlformats.org/officeDocument/2006/relationships" r:embed="rId9"/>
            <a:stretch>
              <a:fillRect/>
            </a:stretch>
          </xdr:blipFill>
          <xdr:spPr>
            <a:xfrm>
              <a:off x="6102359" y="11563350"/>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52</xdr:row>
          <xdr:rowOff>0</xdr:rowOff>
        </xdr:from>
        <xdr:to>
          <xdr:col>4</xdr:col>
          <xdr:colOff>323351</xdr:colOff>
          <xdr:row>53</xdr:row>
          <xdr:rowOff>10139</xdr:rowOff>
        </xdr:to>
        <xdr:pic>
          <xdr:nvPicPr>
            <xdr:cNvPr id="148" name="Picture 147">
              <a:hlinkClick xmlns:r="http://schemas.openxmlformats.org/officeDocument/2006/relationships" r:id="rId97" tooltip="Go to monthly input"/>
            </xdr:cNvPr>
            <xdr:cNvPicPr>
              <a:picLocks noChangeAspect="1"/>
              <a:extLst>
                <a:ext uri="{84589F7E-364E-4C9E-8A38-B11213B215E9}">
                  <a14:cameraTool cellRange="Picture" spid="_x0000_s15089"/>
                </a:ext>
              </a:extLst>
            </xdr:cNvPicPr>
          </xdr:nvPicPr>
          <xdr:blipFill>
            <a:blip xmlns:r="http://schemas.openxmlformats.org/officeDocument/2006/relationships" r:embed="rId9"/>
            <a:stretch>
              <a:fillRect/>
            </a:stretch>
          </xdr:blipFill>
          <xdr:spPr>
            <a:xfrm>
              <a:off x="6102359" y="6896100"/>
              <a:ext cx="164592" cy="16253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51</xdr:row>
          <xdr:rowOff>0</xdr:rowOff>
        </xdr:from>
        <xdr:to>
          <xdr:col>4</xdr:col>
          <xdr:colOff>323351</xdr:colOff>
          <xdr:row>52</xdr:row>
          <xdr:rowOff>16425</xdr:rowOff>
        </xdr:to>
        <xdr:pic>
          <xdr:nvPicPr>
            <xdr:cNvPr id="149" name="Picture 148">
              <a:hlinkClick xmlns:r="http://schemas.openxmlformats.org/officeDocument/2006/relationships" r:id="rId98" tooltip="Go to monthly input"/>
            </xdr:cNvPr>
            <xdr:cNvPicPr>
              <a:picLocks noChangeAspect="1"/>
              <a:extLst>
                <a:ext uri="{84589F7E-364E-4C9E-8A38-B11213B215E9}">
                  <a14:cameraTool cellRange="Picture" spid="_x0000_s15090"/>
                </a:ext>
              </a:extLst>
            </xdr:cNvPicPr>
          </xdr:nvPicPr>
          <xdr:blipFill>
            <a:blip xmlns:r="http://schemas.openxmlformats.org/officeDocument/2006/relationships" r:embed="rId9"/>
            <a:stretch>
              <a:fillRect/>
            </a:stretch>
          </xdr:blipFill>
          <xdr:spPr>
            <a:xfrm>
              <a:off x="6102359" y="6743700"/>
              <a:ext cx="164592" cy="16882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22</xdr:row>
          <xdr:rowOff>0</xdr:rowOff>
        </xdr:from>
        <xdr:to>
          <xdr:col>4</xdr:col>
          <xdr:colOff>323351</xdr:colOff>
          <xdr:row>23</xdr:row>
          <xdr:rowOff>12192</xdr:rowOff>
        </xdr:to>
        <xdr:pic>
          <xdr:nvPicPr>
            <xdr:cNvPr id="150" name="Picture 149">
              <a:hlinkClick xmlns:r="http://schemas.openxmlformats.org/officeDocument/2006/relationships" r:id="rId99" tooltip="Go to monthly input"/>
            </xdr:cNvPr>
            <xdr:cNvPicPr>
              <a:picLocks noChangeAspect="1"/>
              <a:extLst>
                <a:ext uri="{84589F7E-364E-4C9E-8A38-B11213B215E9}">
                  <a14:cameraTool cellRange="Picture" spid="_x0000_s15091"/>
                </a:ext>
              </a:extLst>
            </xdr:cNvPicPr>
          </xdr:nvPicPr>
          <xdr:blipFill>
            <a:blip xmlns:r="http://schemas.openxmlformats.org/officeDocument/2006/relationships" r:embed="rId9"/>
            <a:stretch>
              <a:fillRect/>
            </a:stretch>
          </xdr:blipFill>
          <xdr:spPr>
            <a:xfrm>
              <a:off x="6530984" y="2109788"/>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86</xdr:row>
          <xdr:rowOff>0</xdr:rowOff>
        </xdr:from>
        <xdr:to>
          <xdr:col>4</xdr:col>
          <xdr:colOff>323351</xdr:colOff>
          <xdr:row>87</xdr:row>
          <xdr:rowOff>10074</xdr:rowOff>
        </xdr:to>
        <xdr:pic>
          <xdr:nvPicPr>
            <xdr:cNvPr id="151" name="Picture 150">
              <a:hlinkClick xmlns:r="http://schemas.openxmlformats.org/officeDocument/2006/relationships" r:id="rId99" tooltip="Go to monthly input"/>
            </xdr:cNvPr>
            <xdr:cNvPicPr>
              <a:picLocks noChangeAspect="1"/>
              <a:extLst>
                <a:ext uri="{84589F7E-364E-4C9E-8A38-B11213B215E9}">
                  <a14:cameraTool cellRange="Picture" spid="_x0000_s15092"/>
                </a:ext>
              </a:extLst>
            </xdr:cNvPicPr>
          </xdr:nvPicPr>
          <xdr:blipFill>
            <a:blip xmlns:r="http://schemas.openxmlformats.org/officeDocument/2006/relationships" r:embed="rId9"/>
            <a:stretch>
              <a:fillRect/>
            </a:stretch>
          </xdr:blipFill>
          <xdr:spPr>
            <a:xfrm>
              <a:off x="6102359" y="1017270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87</xdr:row>
          <xdr:rowOff>0</xdr:rowOff>
        </xdr:from>
        <xdr:to>
          <xdr:col>4</xdr:col>
          <xdr:colOff>323351</xdr:colOff>
          <xdr:row>88</xdr:row>
          <xdr:rowOff>18541</xdr:rowOff>
        </xdr:to>
        <xdr:pic>
          <xdr:nvPicPr>
            <xdr:cNvPr id="152" name="Picture 151">
              <a:hlinkClick xmlns:r="http://schemas.openxmlformats.org/officeDocument/2006/relationships" r:id="rId100" tooltip="Go to monthly input"/>
            </xdr:cNvPr>
            <xdr:cNvPicPr>
              <a:picLocks noChangeAspect="1"/>
              <a:extLst>
                <a:ext uri="{84589F7E-364E-4C9E-8A38-B11213B215E9}">
                  <a14:cameraTool cellRange="Picture" spid="_x0000_s15093"/>
                </a:ext>
              </a:extLst>
            </xdr:cNvPicPr>
          </xdr:nvPicPr>
          <xdr:blipFill>
            <a:blip xmlns:r="http://schemas.openxmlformats.org/officeDocument/2006/relationships" r:embed="rId9"/>
            <a:stretch>
              <a:fillRect/>
            </a:stretch>
          </xdr:blipFill>
          <xdr:spPr>
            <a:xfrm>
              <a:off x="6102359" y="10334625"/>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87</xdr:row>
          <xdr:rowOff>0</xdr:rowOff>
        </xdr:from>
        <xdr:to>
          <xdr:col>4</xdr:col>
          <xdr:colOff>323351</xdr:colOff>
          <xdr:row>88</xdr:row>
          <xdr:rowOff>19599</xdr:rowOff>
        </xdr:to>
        <xdr:pic>
          <xdr:nvPicPr>
            <xdr:cNvPr id="153" name="Picture 152">
              <a:hlinkClick xmlns:r="http://schemas.openxmlformats.org/officeDocument/2006/relationships" r:id="rId95" tooltip="Go to monthly input"/>
            </xdr:cNvPr>
            <xdr:cNvPicPr>
              <a:picLocks noChangeAspect="1"/>
              <a:extLst>
                <a:ext uri="{84589F7E-364E-4C9E-8A38-B11213B215E9}">
                  <a14:cameraTool cellRange="Picture" spid="_x0000_s15094"/>
                </a:ext>
              </a:extLst>
            </xdr:cNvPicPr>
          </xdr:nvPicPr>
          <xdr:blipFill>
            <a:blip xmlns:r="http://schemas.openxmlformats.org/officeDocument/2006/relationships" r:embed="rId9"/>
            <a:stretch>
              <a:fillRect/>
            </a:stretch>
          </xdr:blipFill>
          <xdr:spPr>
            <a:xfrm>
              <a:off x="6102359" y="104965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88</xdr:row>
          <xdr:rowOff>0</xdr:rowOff>
        </xdr:from>
        <xdr:to>
          <xdr:col>4</xdr:col>
          <xdr:colOff>323351</xdr:colOff>
          <xdr:row>89</xdr:row>
          <xdr:rowOff>19599</xdr:rowOff>
        </xdr:to>
        <xdr:pic>
          <xdr:nvPicPr>
            <xdr:cNvPr id="154" name="Picture 153">
              <a:hlinkClick xmlns:r="http://schemas.openxmlformats.org/officeDocument/2006/relationships" r:id="rId101" tooltip="Go to monthly input"/>
            </xdr:cNvPr>
            <xdr:cNvPicPr>
              <a:picLocks noChangeAspect="1"/>
              <a:extLst>
                <a:ext uri="{84589F7E-364E-4C9E-8A38-B11213B215E9}">
                  <a14:cameraTool cellRange="Picture" spid="_x0000_s15095"/>
                </a:ext>
              </a:extLst>
            </xdr:cNvPicPr>
          </xdr:nvPicPr>
          <xdr:blipFill>
            <a:blip xmlns:r="http://schemas.openxmlformats.org/officeDocument/2006/relationships" r:embed="rId9"/>
            <a:stretch>
              <a:fillRect/>
            </a:stretch>
          </xdr:blipFill>
          <xdr:spPr>
            <a:xfrm>
              <a:off x="6102359" y="106489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68</xdr:row>
          <xdr:rowOff>0</xdr:rowOff>
        </xdr:from>
        <xdr:to>
          <xdr:col>4</xdr:col>
          <xdr:colOff>323351</xdr:colOff>
          <xdr:row>69</xdr:row>
          <xdr:rowOff>16423</xdr:rowOff>
        </xdr:to>
        <xdr:pic>
          <xdr:nvPicPr>
            <xdr:cNvPr id="162" name="Picture 161">
              <a:hlinkClick xmlns:r="http://schemas.openxmlformats.org/officeDocument/2006/relationships" r:id="rId102" tooltip="Go to monthly input"/>
            </xdr:cNvPr>
            <xdr:cNvPicPr>
              <a:picLocks noChangeAspect="1"/>
              <a:extLst>
                <a:ext uri="{84589F7E-364E-4C9E-8A38-B11213B215E9}">
                  <a14:cameraTool cellRange="Picture" spid="_x0000_s15096"/>
                </a:ext>
              </a:extLst>
            </xdr:cNvPicPr>
          </xdr:nvPicPr>
          <xdr:blipFill>
            <a:blip xmlns:r="http://schemas.openxmlformats.org/officeDocument/2006/relationships" r:embed="rId9"/>
            <a:stretch>
              <a:fillRect/>
            </a:stretch>
          </xdr:blipFill>
          <xdr:spPr>
            <a:xfrm>
              <a:off x="6102359" y="9134475"/>
              <a:ext cx="164592" cy="16882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69</xdr:row>
          <xdr:rowOff>0</xdr:rowOff>
        </xdr:from>
        <xdr:to>
          <xdr:col>4</xdr:col>
          <xdr:colOff>323351</xdr:colOff>
          <xdr:row>70</xdr:row>
          <xdr:rowOff>16425</xdr:rowOff>
        </xdr:to>
        <xdr:pic>
          <xdr:nvPicPr>
            <xdr:cNvPr id="163" name="Picture 162">
              <a:hlinkClick xmlns:r="http://schemas.openxmlformats.org/officeDocument/2006/relationships" r:id="rId103" tooltip="Go to monthly input"/>
            </xdr:cNvPr>
            <xdr:cNvPicPr>
              <a:picLocks noChangeAspect="1"/>
              <a:extLst>
                <a:ext uri="{84589F7E-364E-4C9E-8A38-B11213B215E9}">
                  <a14:cameraTool cellRange="Picture" spid="_x0000_s15097"/>
                </a:ext>
              </a:extLst>
            </xdr:cNvPicPr>
          </xdr:nvPicPr>
          <xdr:blipFill>
            <a:blip xmlns:r="http://schemas.openxmlformats.org/officeDocument/2006/relationships" r:embed="rId9"/>
            <a:stretch>
              <a:fillRect/>
            </a:stretch>
          </xdr:blipFill>
          <xdr:spPr>
            <a:xfrm>
              <a:off x="6102359" y="9286875"/>
              <a:ext cx="164592" cy="168825"/>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70</xdr:row>
          <xdr:rowOff>0</xdr:rowOff>
        </xdr:from>
        <xdr:to>
          <xdr:col>4</xdr:col>
          <xdr:colOff>323351</xdr:colOff>
          <xdr:row>71</xdr:row>
          <xdr:rowOff>15369</xdr:rowOff>
        </xdr:to>
        <xdr:pic>
          <xdr:nvPicPr>
            <xdr:cNvPr id="164" name="Picture 163">
              <a:hlinkClick xmlns:r="http://schemas.openxmlformats.org/officeDocument/2006/relationships" r:id="rId104" tooltip="Go to monthly input"/>
            </xdr:cNvPr>
            <xdr:cNvPicPr>
              <a:picLocks noChangeAspect="1"/>
              <a:extLst>
                <a:ext uri="{84589F7E-364E-4C9E-8A38-B11213B215E9}">
                  <a14:cameraTool cellRange="Picture" spid="_x0000_s15098"/>
                </a:ext>
              </a:extLst>
            </xdr:cNvPicPr>
          </xdr:nvPicPr>
          <xdr:blipFill>
            <a:blip xmlns:r="http://schemas.openxmlformats.org/officeDocument/2006/relationships" r:embed="rId9"/>
            <a:stretch>
              <a:fillRect/>
            </a:stretch>
          </xdr:blipFill>
          <xdr:spPr>
            <a:xfrm>
              <a:off x="6102359" y="9439275"/>
              <a:ext cx="164592" cy="16776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65</xdr:row>
          <xdr:rowOff>0</xdr:rowOff>
        </xdr:from>
        <xdr:to>
          <xdr:col>4</xdr:col>
          <xdr:colOff>323351</xdr:colOff>
          <xdr:row>68</xdr:row>
          <xdr:rowOff>16428</xdr:rowOff>
        </xdr:to>
        <xdr:pic>
          <xdr:nvPicPr>
            <xdr:cNvPr id="166" name="Picture 165">
              <a:hlinkClick xmlns:r="http://schemas.openxmlformats.org/officeDocument/2006/relationships" r:id="rId105" tooltip="Go to monthly input"/>
            </xdr:cNvPr>
            <xdr:cNvPicPr>
              <a:picLocks noChangeAspect="1"/>
              <a:extLst>
                <a:ext uri="{84589F7E-364E-4C9E-8A38-B11213B215E9}">
                  <a14:cameraTool cellRange="Picture" spid="_x0000_s15099"/>
                </a:ext>
              </a:extLst>
            </xdr:cNvPicPr>
          </xdr:nvPicPr>
          <xdr:blipFill>
            <a:blip xmlns:r="http://schemas.openxmlformats.org/officeDocument/2006/relationships" r:embed="rId9"/>
            <a:stretch>
              <a:fillRect/>
            </a:stretch>
          </xdr:blipFill>
          <xdr:spPr>
            <a:xfrm>
              <a:off x="6102359" y="8982075"/>
              <a:ext cx="164592" cy="168828"/>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64</xdr:row>
          <xdr:rowOff>0</xdr:rowOff>
        </xdr:from>
        <xdr:to>
          <xdr:col>4</xdr:col>
          <xdr:colOff>323351</xdr:colOff>
          <xdr:row>67</xdr:row>
          <xdr:rowOff>19599</xdr:rowOff>
        </xdr:to>
        <xdr:pic>
          <xdr:nvPicPr>
            <xdr:cNvPr id="167" name="Picture 166">
              <a:hlinkClick xmlns:r="http://schemas.openxmlformats.org/officeDocument/2006/relationships" r:id="rId101" tooltip="Go to monthly input"/>
            </xdr:cNvPr>
            <xdr:cNvPicPr>
              <a:picLocks noChangeAspect="1"/>
              <a:extLst>
                <a:ext uri="{84589F7E-364E-4C9E-8A38-B11213B215E9}">
                  <a14:cameraTool cellRange="Picture" spid="_x0000_s15100"/>
                </a:ext>
              </a:extLst>
            </xdr:cNvPicPr>
          </xdr:nvPicPr>
          <xdr:blipFill>
            <a:blip xmlns:r="http://schemas.openxmlformats.org/officeDocument/2006/relationships" r:embed="rId9"/>
            <a:stretch>
              <a:fillRect/>
            </a:stretch>
          </xdr:blipFill>
          <xdr:spPr>
            <a:xfrm>
              <a:off x="6102359" y="8829675"/>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63</xdr:row>
          <xdr:rowOff>0</xdr:rowOff>
        </xdr:from>
        <xdr:to>
          <xdr:col>4</xdr:col>
          <xdr:colOff>323351</xdr:colOff>
          <xdr:row>64</xdr:row>
          <xdr:rowOff>16427</xdr:rowOff>
        </xdr:to>
        <xdr:pic>
          <xdr:nvPicPr>
            <xdr:cNvPr id="168" name="Picture 167">
              <a:hlinkClick xmlns:r="http://schemas.openxmlformats.org/officeDocument/2006/relationships" r:id="rId106" tooltip="Go to monthly input"/>
            </xdr:cNvPr>
            <xdr:cNvPicPr>
              <a:picLocks noChangeAspect="1"/>
              <a:extLst>
                <a:ext uri="{84589F7E-364E-4C9E-8A38-B11213B215E9}">
                  <a14:cameraTool cellRange="Picture" spid="_x0000_s15101"/>
                </a:ext>
              </a:extLst>
            </xdr:cNvPicPr>
          </xdr:nvPicPr>
          <xdr:blipFill>
            <a:blip xmlns:r="http://schemas.openxmlformats.org/officeDocument/2006/relationships" r:embed="rId9"/>
            <a:stretch>
              <a:fillRect/>
            </a:stretch>
          </xdr:blipFill>
          <xdr:spPr>
            <a:xfrm>
              <a:off x="6102359" y="8677275"/>
              <a:ext cx="164592" cy="16882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63</xdr:row>
          <xdr:rowOff>0</xdr:rowOff>
        </xdr:from>
        <xdr:to>
          <xdr:col>4</xdr:col>
          <xdr:colOff>323351</xdr:colOff>
          <xdr:row>64</xdr:row>
          <xdr:rowOff>16424</xdr:rowOff>
        </xdr:to>
        <xdr:pic>
          <xdr:nvPicPr>
            <xdr:cNvPr id="169" name="Picture 168">
              <a:hlinkClick xmlns:r="http://schemas.openxmlformats.org/officeDocument/2006/relationships" r:id="rId107" tooltip="Go to monthly input"/>
            </xdr:cNvPr>
            <xdr:cNvPicPr>
              <a:picLocks noChangeAspect="1"/>
              <a:extLst>
                <a:ext uri="{84589F7E-364E-4C9E-8A38-B11213B215E9}">
                  <a14:cameraTool cellRange="Picture" spid="_x0000_s15102"/>
                </a:ext>
              </a:extLst>
            </xdr:cNvPicPr>
          </xdr:nvPicPr>
          <xdr:blipFill>
            <a:blip xmlns:r="http://schemas.openxmlformats.org/officeDocument/2006/relationships" r:embed="rId9"/>
            <a:stretch>
              <a:fillRect/>
            </a:stretch>
          </xdr:blipFill>
          <xdr:spPr>
            <a:xfrm>
              <a:off x="6102359" y="8524875"/>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62</xdr:row>
          <xdr:rowOff>0</xdr:rowOff>
        </xdr:from>
        <xdr:to>
          <xdr:col>4</xdr:col>
          <xdr:colOff>323351</xdr:colOff>
          <xdr:row>63</xdr:row>
          <xdr:rowOff>16424</xdr:rowOff>
        </xdr:to>
        <xdr:pic>
          <xdr:nvPicPr>
            <xdr:cNvPr id="170" name="Picture 169">
              <a:hlinkClick xmlns:r="http://schemas.openxmlformats.org/officeDocument/2006/relationships" r:id="rId108" tooltip="Go to monthly input"/>
            </xdr:cNvPr>
            <xdr:cNvPicPr>
              <a:picLocks noChangeAspect="1"/>
              <a:extLst>
                <a:ext uri="{84589F7E-364E-4C9E-8A38-B11213B215E9}">
                  <a14:cameraTool cellRange="Picture" spid="_x0000_s15103"/>
                </a:ext>
              </a:extLst>
            </xdr:cNvPicPr>
          </xdr:nvPicPr>
          <xdr:blipFill>
            <a:blip xmlns:r="http://schemas.openxmlformats.org/officeDocument/2006/relationships" r:embed="rId9"/>
            <a:stretch>
              <a:fillRect/>
            </a:stretch>
          </xdr:blipFill>
          <xdr:spPr>
            <a:xfrm>
              <a:off x="6102359" y="8372475"/>
              <a:ext cx="164592" cy="16882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58</xdr:row>
          <xdr:rowOff>0</xdr:rowOff>
        </xdr:from>
        <xdr:to>
          <xdr:col>4</xdr:col>
          <xdr:colOff>323351</xdr:colOff>
          <xdr:row>59</xdr:row>
          <xdr:rowOff>10137</xdr:rowOff>
        </xdr:to>
        <xdr:pic>
          <xdr:nvPicPr>
            <xdr:cNvPr id="171" name="Picture 170">
              <a:hlinkClick xmlns:r="http://schemas.openxmlformats.org/officeDocument/2006/relationships" r:id="rId109" tooltip="Go to monthly input"/>
            </xdr:cNvPr>
            <xdr:cNvPicPr>
              <a:picLocks noChangeAspect="1"/>
              <a:extLst>
                <a:ext uri="{84589F7E-364E-4C9E-8A38-B11213B215E9}">
                  <a14:cameraTool cellRange="Picture" spid="_x0000_s15104"/>
                </a:ext>
              </a:extLst>
            </xdr:cNvPicPr>
          </xdr:nvPicPr>
          <xdr:blipFill>
            <a:blip xmlns:r="http://schemas.openxmlformats.org/officeDocument/2006/relationships" r:embed="rId9"/>
            <a:stretch>
              <a:fillRect/>
            </a:stretch>
          </xdr:blipFill>
          <xdr:spPr>
            <a:xfrm>
              <a:off x="6102359" y="7867650"/>
              <a:ext cx="164592" cy="162537"/>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33</xdr:row>
          <xdr:rowOff>0</xdr:rowOff>
        </xdr:from>
        <xdr:to>
          <xdr:col>4</xdr:col>
          <xdr:colOff>323351</xdr:colOff>
          <xdr:row>34</xdr:row>
          <xdr:rowOff>12254</xdr:rowOff>
        </xdr:to>
        <xdr:pic>
          <xdr:nvPicPr>
            <xdr:cNvPr id="172" name="Picture 171">
              <a:hlinkClick xmlns:r="http://schemas.openxmlformats.org/officeDocument/2006/relationships" r:id="rId110" tooltip="Go to monthly input"/>
            </xdr:cNvPr>
            <xdr:cNvPicPr>
              <a:picLocks noChangeAspect="1"/>
              <a:extLst>
                <a:ext uri="{84589F7E-364E-4C9E-8A38-B11213B215E9}">
                  <a14:cameraTool cellRange="Picture" spid="_x0000_s15105"/>
                </a:ext>
              </a:extLst>
            </xdr:cNvPicPr>
          </xdr:nvPicPr>
          <xdr:blipFill>
            <a:blip xmlns:r="http://schemas.openxmlformats.org/officeDocument/2006/relationships" r:embed="rId9"/>
            <a:stretch>
              <a:fillRect/>
            </a:stretch>
          </xdr:blipFill>
          <xdr:spPr>
            <a:xfrm>
              <a:off x="6102359" y="36671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34</xdr:row>
          <xdr:rowOff>0</xdr:rowOff>
        </xdr:from>
        <xdr:to>
          <xdr:col>4</xdr:col>
          <xdr:colOff>323351</xdr:colOff>
          <xdr:row>35</xdr:row>
          <xdr:rowOff>12254</xdr:rowOff>
        </xdr:to>
        <xdr:pic>
          <xdr:nvPicPr>
            <xdr:cNvPr id="173" name="Picture 172">
              <a:hlinkClick xmlns:r="http://schemas.openxmlformats.org/officeDocument/2006/relationships" r:id="rId111" tooltip="Go to monthly input"/>
            </xdr:cNvPr>
            <xdr:cNvPicPr>
              <a:picLocks noChangeAspect="1"/>
              <a:extLst>
                <a:ext uri="{84589F7E-364E-4C9E-8A38-B11213B215E9}">
                  <a14:cameraTool cellRange="Picture" spid="_x0000_s15106"/>
                </a:ext>
              </a:extLst>
            </xdr:cNvPicPr>
          </xdr:nvPicPr>
          <xdr:blipFill>
            <a:blip xmlns:r="http://schemas.openxmlformats.org/officeDocument/2006/relationships" r:embed="rId9"/>
            <a:stretch>
              <a:fillRect/>
            </a:stretch>
          </xdr:blipFill>
          <xdr:spPr>
            <a:xfrm>
              <a:off x="6102359" y="38290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35</xdr:row>
          <xdr:rowOff>0</xdr:rowOff>
        </xdr:from>
        <xdr:to>
          <xdr:col>4</xdr:col>
          <xdr:colOff>323351</xdr:colOff>
          <xdr:row>36</xdr:row>
          <xdr:rowOff>12254</xdr:rowOff>
        </xdr:to>
        <xdr:pic>
          <xdr:nvPicPr>
            <xdr:cNvPr id="174" name="Picture 173">
              <a:hlinkClick xmlns:r="http://schemas.openxmlformats.org/officeDocument/2006/relationships" r:id="rId112" tooltip="Go to monthly input"/>
            </xdr:cNvPr>
            <xdr:cNvPicPr>
              <a:picLocks noChangeAspect="1"/>
              <a:extLst>
                <a:ext uri="{84589F7E-364E-4C9E-8A38-B11213B215E9}">
                  <a14:cameraTool cellRange="Picture" spid="_x0000_s15107"/>
                </a:ext>
              </a:extLst>
            </xdr:cNvPicPr>
          </xdr:nvPicPr>
          <xdr:blipFill>
            <a:blip xmlns:r="http://schemas.openxmlformats.org/officeDocument/2006/relationships" r:embed="rId9"/>
            <a:stretch>
              <a:fillRect/>
            </a:stretch>
          </xdr:blipFill>
          <xdr:spPr>
            <a:xfrm>
              <a:off x="6102359" y="39909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38</xdr:row>
          <xdr:rowOff>0</xdr:rowOff>
        </xdr:from>
        <xdr:to>
          <xdr:col>4</xdr:col>
          <xdr:colOff>323351</xdr:colOff>
          <xdr:row>39</xdr:row>
          <xdr:rowOff>12254</xdr:rowOff>
        </xdr:to>
        <xdr:pic>
          <xdr:nvPicPr>
            <xdr:cNvPr id="175" name="Picture 174">
              <a:hlinkClick xmlns:r="http://schemas.openxmlformats.org/officeDocument/2006/relationships" r:id="rId113" tooltip="Go to monthly input"/>
            </xdr:cNvPr>
            <xdr:cNvPicPr>
              <a:picLocks noChangeAspect="1"/>
              <a:extLst>
                <a:ext uri="{84589F7E-364E-4C9E-8A38-B11213B215E9}">
                  <a14:cameraTool cellRange="Picture" spid="_x0000_s15108"/>
                </a:ext>
              </a:extLst>
            </xdr:cNvPicPr>
          </xdr:nvPicPr>
          <xdr:blipFill>
            <a:blip xmlns:r="http://schemas.openxmlformats.org/officeDocument/2006/relationships" r:embed="rId9"/>
            <a:stretch>
              <a:fillRect/>
            </a:stretch>
          </xdr:blipFill>
          <xdr:spPr>
            <a:xfrm>
              <a:off x="6102359" y="44767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39</xdr:row>
          <xdr:rowOff>0</xdr:rowOff>
        </xdr:from>
        <xdr:to>
          <xdr:col>4</xdr:col>
          <xdr:colOff>323351</xdr:colOff>
          <xdr:row>40</xdr:row>
          <xdr:rowOff>12254</xdr:rowOff>
        </xdr:to>
        <xdr:pic>
          <xdr:nvPicPr>
            <xdr:cNvPr id="176" name="Picture 175">
              <a:hlinkClick xmlns:r="http://schemas.openxmlformats.org/officeDocument/2006/relationships" r:id="rId114" tooltip="Go to monthly input"/>
            </xdr:cNvPr>
            <xdr:cNvPicPr>
              <a:picLocks noChangeAspect="1"/>
              <a:extLst>
                <a:ext uri="{84589F7E-364E-4C9E-8A38-B11213B215E9}">
                  <a14:cameraTool cellRange="Picture" spid="_x0000_s15109"/>
                </a:ext>
              </a:extLst>
            </xdr:cNvPicPr>
          </xdr:nvPicPr>
          <xdr:blipFill>
            <a:blip xmlns:r="http://schemas.openxmlformats.org/officeDocument/2006/relationships" r:embed="rId9"/>
            <a:stretch>
              <a:fillRect/>
            </a:stretch>
          </xdr:blipFill>
          <xdr:spPr>
            <a:xfrm>
              <a:off x="6102359" y="46386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40</xdr:row>
          <xdr:rowOff>0</xdr:rowOff>
        </xdr:from>
        <xdr:to>
          <xdr:col>4</xdr:col>
          <xdr:colOff>323351</xdr:colOff>
          <xdr:row>41</xdr:row>
          <xdr:rowOff>12254</xdr:rowOff>
        </xdr:to>
        <xdr:pic>
          <xdr:nvPicPr>
            <xdr:cNvPr id="177" name="Picture 176">
              <a:hlinkClick xmlns:r="http://schemas.openxmlformats.org/officeDocument/2006/relationships" r:id="rId115" tooltip="Go to monthly input"/>
            </xdr:cNvPr>
            <xdr:cNvPicPr>
              <a:picLocks noChangeAspect="1"/>
              <a:extLst>
                <a:ext uri="{84589F7E-364E-4C9E-8A38-B11213B215E9}">
                  <a14:cameraTool cellRange="Picture" spid="_x0000_s15110"/>
                </a:ext>
              </a:extLst>
            </xdr:cNvPicPr>
          </xdr:nvPicPr>
          <xdr:blipFill>
            <a:blip xmlns:r="http://schemas.openxmlformats.org/officeDocument/2006/relationships" r:embed="rId9"/>
            <a:stretch>
              <a:fillRect/>
            </a:stretch>
          </xdr:blipFill>
          <xdr:spPr>
            <a:xfrm>
              <a:off x="6102359" y="48006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41</xdr:row>
          <xdr:rowOff>0</xdr:rowOff>
        </xdr:from>
        <xdr:to>
          <xdr:col>4</xdr:col>
          <xdr:colOff>323351</xdr:colOff>
          <xdr:row>42</xdr:row>
          <xdr:rowOff>12254</xdr:rowOff>
        </xdr:to>
        <xdr:pic>
          <xdr:nvPicPr>
            <xdr:cNvPr id="178" name="Picture 177">
              <a:hlinkClick xmlns:r="http://schemas.openxmlformats.org/officeDocument/2006/relationships" r:id="rId116" tooltip="Go to monthly input"/>
            </xdr:cNvPr>
            <xdr:cNvPicPr>
              <a:picLocks noChangeAspect="1"/>
              <a:extLst>
                <a:ext uri="{84589F7E-364E-4C9E-8A38-B11213B215E9}">
                  <a14:cameraTool cellRange="Picture" spid="_x0000_s15111"/>
                </a:ext>
              </a:extLst>
            </xdr:cNvPicPr>
          </xdr:nvPicPr>
          <xdr:blipFill>
            <a:blip xmlns:r="http://schemas.openxmlformats.org/officeDocument/2006/relationships" r:embed="rId9"/>
            <a:stretch>
              <a:fillRect/>
            </a:stretch>
          </xdr:blipFill>
          <xdr:spPr>
            <a:xfrm>
              <a:off x="6102359" y="49625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42</xdr:row>
          <xdr:rowOff>0</xdr:rowOff>
        </xdr:from>
        <xdr:to>
          <xdr:col>4</xdr:col>
          <xdr:colOff>323351</xdr:colOff>
          <xdr:row>43</xdr:row>
          <xdr:rowOff>12254</xdr:rowOff>
        </xdr:to>
        <xdr:pic>
          <xdr:nvPicPr>
            <xdr:cNvPr id="179" name="Picture 178">
              <a:hlinkClick xmlns:r="http://schemas.openxmlformats.org/officeDocument/2006/relationships" r:id="rId117" tooltip="Go to monthly input"/>
            </xdr:cNvPr>
            <xdr:cNvPicPr>
              <a:picLocks noChangeAspect="1"/>
              <a:extLst>
                <a:ext uri="{84589F7E-364E-4C9E-8A38-B11213B215E9}">
                  <a14:cameraTool cellRange="Picture" spid="_x0000_s15112"/>
                </a:ext>
              </a:extLst>
            </xdr:cNvPicPr>
          </xdr:nvPicPr>
          <xdr:blipFill>
            <a:blip xmlns:r="http://schemas.openxmlformats.org/officeDocument/2006/relationships" r:embed="rId9"/>
            <a:stretch>
              <a:fillRect/>
            </a:stretch>
          </xdr:blipFill>
          <xdr:spPr>
            <a:xfrm>
              <a:off x="6102359" y="51244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43</xdr:row>
          <xdr:rowOff>0</xdr:rowOff>
        </xdr:from>
        <xdr:to>
          <xdr:col>4</xdr:col>
          <xdr:colOff>323351</xdr:colOff>
          <xdr:row>44</xdr:row>
          <xdr:rowOff>12254</xdr:rowOff>
        </xdr:to>
        <xdr:pic>
          <xdr:nvPicPr>
            <xdr:cNvPr id="180" name="Picture 179">
              <a:hlinkClick xmlns:r="http://schemas.openxmlformats.org/officeDocument/2006/relationships" r:id="rId118" tooltip="Go to monthly input"/>
            </xdr:cNvPr>
            <xdr:cNvPicPr>
              <a:picLocks noChangeAspect="1"/>
              <a:extLst>
                <a:ext uri="{84589F7E-364E-4C9E-8A38-B11213B215E9}">
                  <a14:cameraTool cellRange="Picture" spid="_x0000_s15113"/>
                </a:ext>
              </a:extLst>
            </xdr:cNvPicPr>
          </xdr:nvPicPr>
          <xdr:blipFill>
            <a:blip xmlns:r="http://schemas.openxmlformats.org/officeDocument/2006/relationships" r:embed="rId9"/>
            <a:stretch>
              <a:fillRect/>
            </a:stretch>
          </xdr:blipFill>
          <xdr:spPr>
            <a:xfrm>
              <a:off x="6102359" y="52863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44</xdr:row>
          <xdr:rowOff>0</xdr:rowOff>
        </xdr:from>
        <xdr:to>
          <xdr:col>4</xdr:col>
          <xdr:colOff>323351</xdr:colOff>
          <xdr:row>45</xdr:row>
          <xdr:rowOff>12254</xdr:rowOff>
        </xdr:to>
        <xdr:pic>
          <xdr:nvPicPr>
            <xdr:cNvPr id="181" name="Picture 180">
              <a:hlinkClick xmlns:r="http://schemas.openxmlformats.org/officeDocument/2006/relationships" r:id="rId119" tooltip="Go to monthly input"/>
            </xdr:cNvPr>
            <xdr:cNvPicPr>
              <a:picLocks noChangeAspect="1"/>
              <a:extLst>
                <a:ext uri="{84589F7E-364E-4C9E-8A38-B11213B215E9}">
                  <a14:cameraTool cellRange="Picture" spid="_x0000_s15114"/>
                </a:ext>
              </a:extLst>
            </xdr:cNvPicPr>
          </xdr:nvPicPr>
          <xdr:blipFill>
            <a:blip xmlns:r="http://schemas.openxmlformats.org/officeDocument/2006/relationships" r:embed="rId9"/>
            <a:stretch>
              <a:fillRect/>
            </a:stretch>
          </xdr:blipFill>
          <xdr:spPr>
            <a:xfrm>
              <a:off x="6102359" y="54483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45</xdr:row>
          <xdr:rowOff>0</xdr:rowOff>
        </xdr:from>
        <xdr:to>
          <xdr:col>4</xdr:col>
          <xdr:colOff>323351</xdr:colOff>
          <xdr:row>46</xdr:row>
          <xdr:rowOff>12254</xdr:rowOff>
        </xdr:to>
        <xdr:pic>
          <xdr:nvPicPr>
            <xdr:cNvPr id="182" name="Picture 181">
              <a:hlinkClick xmlns:r="http://schemas.openxmlformats.org/officeDocument/2006/relationships" r:id="rId120" tooltip="Go to monthly input"/>
            </xdr:cNvPr>
            <xdr:cNvPicPr>
              <a:picLocks noChangeAspect="1"/>
              <a:extLst>
                <a:ext uri="{84589F7E-364E-4C9E-8A38-B11213B215E9}">
                  <a14:cameraTool cellRange="Picture" spid="_x0000_s15115"/>
                </a:ext>
              </a:extLst>
            </xdr:cNvPicPr>
          </xdr:nvPicPr>
          <xdr:blipFill>
            <a:blip xmlns:r="http://schemas.openxmlformats.org/officeDocument/2006/relationships" r:embed="rId9"/>
            <a:stretch>
              <a:fillRect/>
            </a:stretch>
          </xdr:blipFill>
          <xdr:spPr>
            <a:xfrm>
              <a:off x="6102359" y="56102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47</xdr:row>
          <xdr:rowOff>0</xdr:rowOff>
        </xdr:from>
        <xdr:to>
          <xdr:col>4</xdr:col>
          <xdr:colOff>323351</xdr:colOff>
          <xdr:row>48</xdr:row>
          <xdr:rowOff>12254</xdr:rowOff>
        </xdr:to>
        <xdr:pic>
          <xdr:nvPicPr>
            <xdr:cNvPr id="183" name="Picture 182">
              <a:hlinkClick xmlns:r="http://schemas.openxmlformats.org/officeDocument/2006/relationships" r:id="rId121" tooltip="Go to monthly input"/>
            </xdr:cNvPr>
            <xdr:cNvPicPr>
              <a:picLocks noChangeAspect="1"/>
              <a:extLst>
                <a:ext uri="{84589F7E-364E-4C9E-8A38-B11213B215E9}">
                  <a14:cameraTool cellRange="Picture" spid="_x0000_s15116"/>
                </a:ext>
              </a:extLst>
            </xdr:cNvPicPr>
          </xdr:nvPicPr>
          <xdr:blipFill>
            <a:blip xmlns:r="http://schemas.openxmlformats.org/officeDocument/2006/relationships" r:embed="rId9"/>
            <a:stretch>
              <a:fillRect/>
            </a:stretch>
          </xdr:blipFill>
          <xdr:spPr>
            <a:xfrm>
              <a:off x="6102359" y="59340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48</xdr:row>
          <xdr:rowOff>0</xdr:rowOff>
        </xdr:from>
        <xdr:to>
          <xdr:col>4</xdr:col>
          <xdr:colOff>323351</xdr:colOff>
          <xdr:row>49</xdr:row>
          <xdr:rowOff>12254</xdr:rowOff>
        </xdr:to>
        <xdr:pic>
          <xdr:nvPicPr>
            <xdr:cNvPr id="184" name="Picture 183">
              <a:hlinkClick xmlns:r="http://schemas.openxmlformats.org/officeDocument/2006/relationships" r:id="rId122" tooltip="Go to monthly input"/>
            </xdr:cNvPr>
            <xdr:cNvPicPr>
              <a:picLocks noChangeAspect="1"/>
              <a:extLst>
                <a:ext uri="{84589F7E-364E-4C9E-8A38-B11213B215E9}">
                  <a14:cameraTool cellRange="Picture" spid="_x0000_s15117"/>
                </a:ext>
              </a:extLst>
            </xdr:cNvPicPr>
          </xdr:nvPicPr>
          <xdr:blipFill>
            <a:blip xmlns:r="http://schemas.openxmlformats.org/officeDocument/2006/relationships" r:embed="rId9"/>
            <a:stretch>
              <a:fillRect/>
            </a:stretch>
          </xdr:blipFill>
          <xdr:spPr>
            <a:xfrm>
              <a:off x="6102359" y="609600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49</xdr:row>
          <xdr:rowOff>0</xdr:rowOff>
        </xdr:from>
        <xdr:to>
          <xdr:col>4</xdr:col>
          <xdr:colOff>323351</xdr:colOff>
          <xdr:row>50</xdr:row>
          <xdr:rowOff>12254</xdr:rowOff>
        </xdr:to>
        <xdr:pic>
          <xdr:nvPicPr>
            <xdr:cNvPr id="185" name="Picture 184">
              <a:hlinkClick xmlns:r="http://schemas.openxmlformats.org/officeDocument/2006/relationships" r:id="rId123" tooltip="Go to monthly input"/>
            </xdr:cNvPr>
            <xdr:cNvPicPr>
              <a:picLocks noChangeAspect="1"/>
              <a:extLst>
                <a:ext uri="{84589F7E-364E-4C9E-8A38-B11213B215E9}">
                  <a14:cameraTool cellRange="Picture" spid="_x0000_s15118"/>
                </a:ext>
              </a:extLst>
            </xdr:cNvPicPr>
          </xdr:nvPicPr>
          <xdr:blipFill>
            <a:blip xmlns:r="http://schemas.openxmlformats.org/officeDocument/2006/relationships" r:embed="rId9"/>
            <a:stretch>
              <a:fillRect/>
            </a:stretch>
          </xdr:blipFill>
          <xdr:spPr>
            <a:xfrm>
              <a:off x="6102359" y="625792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50</xdr:row>
          <xdr:rowOff>0</xdr:rowOff>
        </xdr:from>
        <xdr:to>
          <xdr:col>4</xdr:col>
          <xdr:colOff>323351</xdr:colOff>
          <xdr:row>51</xdr:row>
          <xdr:rowOff>12254</xdr:rowOff>
        </xdr:to>
        <xdr:pic>
          <xdr:nvPicPr>
            <xdr:cNvPr id="186" name="Picture 185">
              <a:hlinkClick xmlns:r="http://schemas.openxmlformats.org/officeDocument/2006/relationships" r:id="rId124" tooltip="Go to monthly input"/>
            </xdr:cNvPr>
            <xdr:cNvPicPr>
              <a:picLocks noChangeAspect="1"/>
              <a:extLst>
                <a:ext uri="{84589F7E-364E-4C9E-8A38-B11213B215E9}">
                  <a14:cameraTool cellRange="Picture" spid="_x0000_s15119"/>
                </a:ext>
              </a:extLst>
            </xdr:cNvPicPr>
          </xdr:nvPicPr>
          <xdr:blipFill>
            <a:blip xmlns:r="http://schemas.openxmlformats.org/officeDocument/2006/relationships" r:embed="rId9"/>
            <a:stretch>
              <a:fillRect/>
            </a:stretch>
          </xdr:blipFill>
          <xdr:spPr>
            <a:xfrm>
              <a:off x="6102359" y="6419850"/>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50</xdr:row>
          <xdr:rowOff>0</xdr:rowOff>
        </xdr:from>
        <xdr:to>
          <xdr:col>4</xdr:col>
          <xdr:colOff>323351</xdr:colOff>
          <xdr:row>51</xdr:row>
          <xdr:rowOff>12254</xdr:rowOff>
        </xdr:to>
        <xdr:pic>
          <xdr:nvPicPr>
            <xdr:cNvPr id="187" name="Picture 186">
              <a:hlinkClick xmlns:r="http://schemas.openxmlformats.org/officeDocument/2006/relationships" r:id="rId125" tooltip="Go to monthly input"/>
            </xdr:cNvPr>
            <xdr:cNvPicPr>
              <a:picLocks noChangeAspect="1"/>
              <a:extLst>
                <a:ext uri="{84589F7E-364E-4C9E-8A38-B11213B215E9}">
                  <a14:cameraTool cellRange="Picture" spid="_x0000_s15120"/>
                </a:ext>
              </a:extLst>
            </xdr:cNvPicPr>
          </xdr:nvPicPr>
          <xdr:blipFill>
            <a:blip xmlns:r="http://schemas.openxmlformats.org/officeDocument/2006/relationships" r:embed="rId9"/>
            <a:stretch>
              <a:fillRect/>
            </a:stretch>
          </xdr:blipFill>
          <xdr:spPr>
            <a:xfrm>
              <a:off x="6102359" y="65817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55</xdr:row>
          <xdr:rowOff>0</xdr:rowOff>
        </xdr:from>
        <xdr:to>
          <xdr:col>4</xdr:col>
          <xdr:colOff>323351</xdr:colOff>
          <xdr:row>56</xdr:row>
          <xdr:rowOff>12254</xdr:rowOff>
        </xdr:to>
        <xdr:pic>
          <xdr:nvPicPr>
            <xdr:cNvPr id="188" name="Picture 187">
              <a:hlinkClick xmlns:r="http://schemas.openxmlformats.org/officeDocument/2006/relationships" r:id="rId126" tooltip="Go to monthly input"/>
            </xdr:cNvPr>
            <xdr:cNvPicPr>
              <a:picLocks noChangeAspect="1"/>
              <a:extLst>
                <a:ext uri="{84589F7E-364E-4C9E-8A38-B11213B215E9}">
                  <a14:cameraTool cellRange="Picture" spid="_x0000_s15121"/>
                </a:ext>
              </a:extLst>
            </xdr:cNvPicPr>
          </xdr:nvPicPr>
          <xdr:blipFill>
            <a:blip xmlns:r="http://schemas.openxmlformats.org/officeDocument/2006/relationships" r:embed="rId9"/>
            <a:stretch>
              <a:fillRect/>
            </a:stretch>
          </xdr:blipFill>
          <xdr:spPr>
            <a:xfrm>
              <a:off x="6102359" y="7381875"/>
              <a:ext cx="164592" cy="164654"/>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56</xdr:row>
          <xdr:rowOff>0</xdr:rowOff>
        </xdr:from>
        <xdr:to>
          <xdr:col>4</xdr:col>
          <xdr:colOff>323351</xdr:colOff>
          <xdr:row>57</xdr:row>
          <xdr:rowOff>12254</xdr:rowOff>
        </xdr:to>
        <xdr:pic>
          <xdr:nvPicPr>
            <xdr:cNvPr id="189" name="Picture 188">
              <a:hlinkClick xmlns:r="http://schemas.openxmlformats.org/officeDocument/2006/relationships" r:id="rId127" tooltip="Go to monthly input"/>
            </xdr:cNvPr>
            <xdr:cNvPicPr>
              <a:picLocks noChangeAspect="1"/>
              <a:extLst>
                <a:ext uri="{84589F7E-364E-4C9E-8A38-B11213B215E9}">
                  <a14:cameraTool cellRange="Picture" spid="_x0000_s15122"/>
                </a:ext>
              </a:extLst>
            </xdr:cNvPicPr>
          </xdr:nvPicPr>
          <xdr:blipFill>
            <a:blip xmlns:r="http://schemas.openxmlformats.org/officeDocument/2006/relationships" r:embed="rId9"/>
            <a:stretch>
              <a:fillRect/>
            </a:stretch>
          </xdr:blipFill>
          <xdr:spPr>
            <a:xfrm>
              <a:off x="6102359" y="7543800"/>
              <a:ext cx="164592" cy="164654"/>
            </a:xfrm>
            <a:prstGeom prst="rect">
              <a:avLst/>
            </a:prstGeom>
          </xdr:spPr>
        </xdr:pic>
        <xdr:clientData fPrintsWithSheet="0"/>
      </xdr:twoCellAnchor>
    </mc:Choice>
    <mc:Fallback/>
  </mc:AlternateContent>
  <xdr:twoCellAnchor>
    <xdr:from>
      <xdr:col>5</xdr:col>
      <xdr:colOff>43922</xdr:colOff>
      <xdr:row>33</xdr:row>
      <xdr:rowOff>100693</xdr:rowOff>
    </xdr:from>
    <xdr:to>
      <xdr:col>12</xdr:col>
      <xdr:colOff>608241</xdr:colOff>
      <xdr:row>73</xdr:row>
      <xdr:rowOff>104774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158759</xdr:colOff>
          <xdr:row>145</xdr:row>
          <xdr:rowOff>0</xdr:rowOff>
        </xdr:from>
        <xdr:to>
          <xdr:col>4</xdr:col>
          <xdr:colOff>323351</xdr:colOff>
          <xdr:row>146</xdr:row>
          <xdr:rowOff>10073</xdr:rowOff>
        </xdr:to>
        <xdr:pic>
          <xdr:nvPicPr>
            <xdr:cNvPr id="141" name="Picture 140">
              <a:hlinkClick xmlns:r="http://schemas.openxmlformats.org/officeDocument/2006/relationships" r:id="rId129" tooltip="Go to monthly input"/>
            </xdr:cNvPr>
            <xdr:cNvPicPr>
              <a:picLocks noChangeAspect="1"/>
              <a:extLst>
                <a:ext uri="{84589F7E-364E-4C9E-8A38-B11213B215E9}">
                  <a14:cameraTool cellRange="Picture" spid="_x0000_s15123"/>
                </a:ext>
              </a:extLst>
            </xdr:cNvPicPr>
          </xdr:nvPicPr>
          <xdr:blipFill>
            <a:blip xmlns:r="http://schemas.openxmlformats.org/officeDocument/2006/relationships" r:embed="rId9"/>
            <a:stretch>
              <a:fillRect/>
            </a:stretch>
          </xdr:blipFill>
          <xdr:spPr>
            <a:xfrm>
              <a:off x="6102359" y="1899285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112</xdr:row>
          <xdr:rowOff>0</xdr:rowOff>
        </xdr:from>
        <xdr:to>
          <xdr:col>4</xdr:col>
          <xdr:colOff>323351</xdr:colOff>
          <xdr:row>113</xdr:row>
          <xdr:rowOff>10073</xdr:rowOff>
        </xdr:to>
        <xdr:pic>
          <xdr:nvPicPr>
            <xdr:cNvPr id="142" name="Picture 141">
              <a:hlinkClick xmlns:r="http://schemas.openxmlformats.org/officeDocument/2006/relationships" r:id="rId130" tooltip="Go to monthly input"/>
            </xdr:cNvPr>
            <xdr:cNvPicPr>
              <a:picLocks noChangeAspect="1"/>
              <a:extLst>
                <a:ext uri="{84589F7E-364E-4C9E-8A38-B11213B215E9}">
                  <a14:cameraTool cellRange="Picture" spid="_x0000_s15124"/>
                </a:ext>
              </a:extLst>
            </xdr:cNvPicPr>
          </xdr:nvPicPr>
          <xdr:blipFill>
            <a:blip xmlns:r="http://schemas.openxmlformats.org/officeDocument/2006/relationships" r:embed="rId9"/>
            <a:stretch>
              <a:fillRect/>
            </a:stretch>
          </xdr:blipFill>
          <xdr:spPr>
            <a:xfrm>
              <a:off x="6102359" y="13982700"/>
              <a:ext cx="164592" cy="171999"/>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147</xdr:row>
          <xdr:rowOff>0</xdr:rowOff>
        </xdr:from>
        <xdr:to>
          <xdr:col>4</xdr:col>
          <xdr:colOff>323351</xdr:colOff>
          <xdr:row>148</xdr:row>
          <xdr:rowOff>2667</xdr:rowOff>
        </xdr:to>
        <xdr:pic>
          <xdr:nvPicPr>
            <xdr:cNvPr id="143" name="Picture 142">
              <a:hlinkClick xmlns:r="http://schemas.openxmlformats.org/officeDocument/2006/relationships" r:id="rId36" tooltip="Go to monthly input"/>
            </xdr:cNvPr>
            <xdr:cNvPicPr>
              <a:picLocks noChangeAspect="1"/>
              <a:extLst>
                <a:ext uri="{84589F7E-364E-4C9E-8A38-B11213B215E9}">
                  <a14:cameraTool cellRange="Picture" spid="_x0000_s15125"/>
                </a:ext>
              </a:extLst>
            </xdr:cNvPicPr>
          </xdr:nvPicPr>
          <xdr:blipFill>
            <a:blip xmlns:r="http://schemas.openxmlformats.org/officeDocument/2006/relationships" r:embed="rId9"/>
            <a:stretch>
              <a:fillRect/>
            </a:stretch>
          </xdr:blipFill>
          <xdr:spPr>
            <a:xfrm>
              <a:off x="6102359" y="19316700"/>
              <a:ext cx="164592" cy="164592"/>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146</xdr:row>
          <xdr:rowOff>0</xdr:rowOff>
        </xdr:from>
        <xdr:to>
          <xdr:col>4</xdr:col>
          <xdr:colOff>323351</xdr:colOff>
          <xdr:row>147</xdr:row>
          <xdr:rowOff>2668</xdr:rowOff>
        </xdr:to>
        <xdr:pic>
          <xdr:nvPicPr>
            <xdr:cNvPr id="146" name="Picture 145">
              <a:hlinkClick xmlns:r="http://schemas.openxmlformats.org/officeDocument/2006/relationships" r:id="rId21" tooltip="Go to monthly input"/>
            </xdr:cNvPr>
            <xdr:cNvPicPr>
              <a:picLocks noChangeAspect="1"/>
              <a:extLst>
                <a:ext uri="{84589F7E-364E-4C9E-8A38-B11213B215E9}">
                  <a14:cameraTool cellRange="Picture" spid="_x0000_s15126"/>
                </a:ext>
              </a:extLst>
            </xdr:cNvPicPr>
          </xdr:nvPicPr>
          <xdr:blipFill>
            <a:blip xmlns:r="http://schemas.openxmlformats.org/officeDocument/2006/relationships" r:embed="rId9"/>
            <a:stretch>
              <a:fillRect/>
            </a:stretch>
          </xdr:blipFill>
          <xdr:spPr>
            <a:xfrm>
              <a:off x="6102359" y="19154775"/>
              <a:ext cx="164592" cy="164592"/>
            </a:xfrm>
            <a:prstGeom prst="rect">
              <a:avLst/>
            </a:prstGeom>
          </xdr:spPr>
        </xdr:pic>
        <xdr:clientData fPrintsWithSheet="0"/>
      </xdr:twoCellAnchor>
    </mc:Choice>
    <mc:Fallback/>
  </mc:AlternateContent>
  <xdr:twoCellAnchor>
    <xdr:from>
      <xdr:col>7</xdr:col>
      <xdr:colOff>33337</xdr:colOff>
      <xdr:row>0</xdr:row>
      <xdr:rowOff>14287</xdr:rowOff>
    </xdr:from>
    <xdr:to>
      <xdr:col>10</xdr:col>
      <xdr:colOff>123825</xdr:colOff>
      <xdr:row>8</xdr:row>
      <xdr:rowOff>84391</xdr:rowOff>
    </xdr:to>
    <xdr:sp macro="[0]!PrintBS_Final" textlink="">
      <xdr:nvSpPr>
        <xdr:cNvPr id="147" name="Rectangle 146">
          <a:hlinkClick xmlns:r="http://schemas.openxmlformats.org/officeDocument/2006/relationships" r:id="rId131" tooltip="Go to the Financial Scorecard"/>
        </xdr:cNvPr>
        <xdr:cNvSpPr/>
      </xdr:nvSpPr>
      <xdr:spPr>
        <a:xfrm>
          <a:off x="8167687" y="14287"/>
          <a:ext cx="2090738" cy="374904"/>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mc:AlternateContent xmlns:mc="http://schemas.openxmlformats.org/markup-compatibility/2006">
    <mc:Choice xmlns:a14="http://schemas.microsoft.com/office/drawing/2010/main" Requires="a14">
      <xdr:twoCellAnchor editAs="oneCell">
        <xdr:from>
          <xdr:col>4</xdr:col>
          <xdr:colOff>158759</xdr:colOff>
          <xdr:row>199</xdr:row>
          <xdr:rowOff>0</xdr:rowOff>
        </xdr:from>
        <xdr:to>
          <xdr:col>4</xdr:col>
          <xdr:colOff>323351</xdr:colOff>
          <xdr:row>200</xdr:row>
          <xdr:rowOff>2667</xdr:rowOff>
        </xdr:to>
        <xdr:pic>
          <xdr:nvPicPr>
            <xdr:cNvPr id="155" name="Picture 154">
              <a:hlinkClick xmlns:r="http://schemas.openxmlformats.org/officeDocument/2006/relationships" r:id="rId132" tooltip="Go to monthly input"/>
            </xdr:cNvPr>
            <xdr:cNvPicPr>
              <a:picLocks noChangeAspect="1"/>
              <a:extLst>
                <a:ext uri="{84589F7E-364E-4C9E-8A38-B11213B215E9}">
                  <a14:cameraTool cellRange="Picture" spid="_x0000_s15127"/>
                </a:ext>
              </a:extLst>
            </xdr:cNvPicPr>
          </xdr:nvPicPr>
          <xdr:blipFill>
            <a:blip xmlns:r="http://schemas.openxmlformats.org/officeDocument/2006/relationships" r:embed="rId9"/>
            <a:stretch>
              <a:fillRect/>
            </a:stretch>
          </xdr:blipFill>
          <xdr:spPr>
            <a:xfrm>
              <a:off x="6569907" y="26604148"/>
              <a:ext cx="164592" cy="16259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201</xdr:row>
          <xdr:rowOff>0</xdr:rowOff>
        </xdr:from>
        <xdr:to>
          <xdr:col>4</xdr:col>
          <xdr:colOff>323351</xdr:colOff>
          <xdr:row>202</xdr:row>
          <xdr:rowOff>2666</xdr:rowOff>
        </xdr:to>
        <xdr:pic>
          <xdr:nvPicPr>
            <xdr:cNvPr id="156" name="Picture 155">
              <a:hlinkClick xmlns:r="http://schemas.openxmlformats.org/officeDocument/2006/relationships" r:id="rId133" tooltip="Go to monthly input"/>
            </xdr:cNvPr>
            <xdr:cNvPicPr>
              <a:picLocks noChangeAspect="1"/>
              <a:extLst>
                <a:ext uri="{84589F7E-364E-4C9E-8A38-B11213B215E9}">
                  <a14:cameraTool cellRange="Picture" spid="_x0000_s15128"/>
                </a:ext>
              </a:extLst>
            </xdr:cNvPicPr>
          </xdr:nvPicPr>
          <xdr:blipFill>
            <a:blip xmlns:r="http://schemas.openxmlformats.org/officeDocument/2006/relationships" r:embed="rId9"/>
            <a:stretch>
              <a:fillRect/>
            </a:stretch>
          </xdr:blipFill>
          <xdr:spPr>
            <a:xfrm>
              <a:off x="6572259" y="27076400"/>
              <a:ext cx="164592" cy="163533"/>
            </a:xfrm>
            <a:prstGeom prst="rect">
              <a:avLst/>
            </a:prstGeom>
          </xdr:spPr>
        </xdr:pic>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158759</xdr:colOff>
          <xdr:row>200</xdr:row>
          <xdr:rowOff>0</xdr:rowOff>
        </xdr:from>
        <xdr:to>
          <xdr:col>4</xdr:col>
          <xdr:colOff>323351</xdr:colOff>
          <xdr:row>201</xdr:row>
          <xdr:rowOff>2666</xdr:rowOff>
        </xdr:to>
        <xdr:pic>
          <xdr:nvPicPr>
            <xdr:cNvPr id="157" name="Picture 156">
              <a:hlinkClick xmlns:r="http://schemas.openxmlformats.org/officeDocument/2006/relationships" r:id="rId134" tooltip="Go to monthly input"/>
            </xdr:cNvPr>
            <xdr:cNvPicPr>
              <a:picLocks noChangeAspect="1"/>
              <a:extLst>
                <a:ext uri="{84589F7E-364E-4C9E-8A38-B11213B215E9}">
                  <a14:cameraTool cellRange="Picture" spid="_x0000_s15129"/>
                </a:ext>
              </a:extLst>
            </xdr:cNvPicPr>
          </xdr:nvPicPr>
          <xdr:blipFill>
            <a:blip xmlns:r="http://schemas.openxmlformats.org/officeDocument/2006/relationships" r:embed="rId9"/>
            <a:stretch>
              <a:fillRect/>
            </a:stretch>
          </xdr:blipFill>
          <xdr:spPr>
            <a:xfrm>
              <a:off x="6572259" y="26915533"/>
              <a:ext cx="164592" cy="163533"/>
            </a:xfrm>
            <a:prstGeom prst="rect">
              <a:avLst/>
            </a:prstGeom>
          </xdr:spPr>
        </xdr:pic>
        <xdr:clientData fPrintsWithSheet="0"/>
      </xdr:twoCellAnchor>
    </mc:Choice>
    <mc:Fallback/>
  </mc:AlternateContent>
  <xdr:twoCellAnchor editAs="oneCell">
    <xdr:from>
      <xdr:col>1</xdr:col>
      <xdr:colOff>57150</xdr:colOff>
      <xdr:row>77</xdr:row>
      <xdr:rowOff>38100</xdr:rowOff>
    </xdr:from>
    <xdr:to>
      <xdr:col>1</xdr:col>
      <xdr:colOff>507847</xdr:colOff>
      <xdr:row>80</xdr:row>
      <xdr:rowOff>38100</xdr:rowOff>
    </xdr:to>
    <xdr:pic>
      <xdr:nvPicPr>
        <xdr:cNvPr id="158" name="Picture 15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0191750"/>
          <a:ext cx="450697" cy="457200"/>
        </a:xfrm>
        <a:prstGeom prst="rect">
          <a:avLst/>
        </a:prstGeom>
      </xdr:spPr>
    </xdr:pic>
    <xdr:clientData/>
  </xdr:twoCellAnchor>
  <xdr:twoCellAnchor editAs="oneCell">
    <xdr:from>
      <xdr:col>1</xdr:col>
      <xdr:colOff>3565624</xdr:colOff>
      <xdr:row>15</xdr:row>
      <xdr:rowOff>0</xdr:rowOff>
    </xdr:from>
    <xdr:to>
      <xdr:col>1</xdr:col>
      <xdr:colOff>3748504</xdr:colOff>
      <xdr:row>15</xdr:row>
      <xdr:rowOff>182880</xdr:rowOff>
    </xdr:to>
    <xdr:pic>
      <xdr:nvPicPr>
        <xdr:cNvPr id="159" name="Picture 158">
          <a:hlinkClick xmlns:r="http://schemas.openxmlformats.org/officeDocument/2006/relationships" r:id="rId4" tooltip="Go back to General Info to change how you sell your produc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5624" y="808567"/>
          <a:ext cx="182880" cy="182880"/>
        </a:xfrm>
        <a:prstGeom prst="rect">
          <a:avLst/>
        </a:prstGeom>
      </xdr:spPr>
    </xdr:pic>
    <xdr:clientData fPrintsWithSheet="0"/>
  </xdr:twoCellAnchor>
  <xdr:twoCellAnchor>
    <xdr:from>
      <xdr:col>4</xdr:col>
      <xdr:colOff>275167</xdr:colOff>
      <xdr:row>0</xdr:row>
      <xdr:rowOff>14287</xdr:rowOff>
    </xdr:from>
    <xdr:to>
      <xdr:col>6</xdr:col>
      <xdr:colOff>629242</xdr:colOff>
      <xdr:row>8</xdr:row>
      <xdr:rowOff>84391</xdr:rowOff>
    </xdr:to>
    <xdr:sp macro="[0]!PrintBS_Final" textlink="">
      <xdr:nvSpPr>
        <xdr:cNvPr id="160" name="Rectangle 159">
          <a:hlinkClick xmlns:r="http://schemas.openxmlformats.org/officeDocument/2006/relationships" r:id="rId135" tooltip="Go to the Financial Scorecard"/>
        </xdr:cNvPr>
        <xdr:cNvSpPr/>
      </xdr:nvSpPr>
      <xdr:spPr>
        <a:xfrm>
          <a:off x="6688667" y="14287"/>
          <a:ext cx="2000842" cy="374904"/>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baseline="0">
              <a:ln>
                <a:noFill/>
              </a:ln>
            </a:rPr>
            <a:t>Financial Dashboard</a:t>
          </a:r>
          <a:endParaRPr lang="en-US" sz="1400" b="1">
            <a:ln>
              <a:noFill/>
            </a:ln>
          </a:endParaRPr>
        </a:p>
      </xdr:txBody>
    </xdr:sp>
    <xdr:clientData/>
  </xdr:twoCellAnchor>
  <mc:AlternateContent xmlns:mc="http://schemas.openxmlformats.org/markup-compatibility/2006">
    <mc:Choice xmlns:a14="http://schemas.microsoft.com/office/drawing/2010/main" Requires="a14">
      <xdr:twoCellAnchor editAs="oneCell">
        <xdr:from>
          <xdr:col>3</xdr:col>
          <xdr:colOff>295275</xdr:colOff>
          <xdr:row>6</xdr:row>
          <xdr:rowOff>19050</xdr:rowOff>
        </xdr:from>
        <xdr:to>
          <xdr:col>4</xdr:col>
          <xdr:colOff>257175</xdr:colOff>
          <xdr:row>8</xdr:row>
          <xdr:rowOff>152400</xdr:rowOff>
        </xdr:to>
        <xdr:sp macro="" textlink="">
          <xdr:nvSpPr>
            <xdr:cNvPr id="14337" name="Drop Down 1"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13.xml><?xml version="1.0" encoding="utf-8"?>
<c:userShapes xmlns:c="http://schemas.openxmlformats.org/drawingml/2006/chart">
  <cdr:relSizeAnchor xmlns:cdr="http://schemas.openxmlformats.org/drawingml/2006/chartDrawing">
    <cdr:from>
      <cdr:x>0.94896</cdr:x>
      <cdr:y>0.91073</cdr:y>
    </cdr:from>
    <cdr:to>
      <cdr:x>0.99651</cdr:x>
      <cdr:y>0.99195</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562827" y="2563319"/>
          <a:ext cx="228600" cy="228600"/>
        </a:xfrm>
        <a:prstGeom xmlns:a="http://schemas.openxmlformats.org/drawingml/2006/main" prst="rect">
          <a:avLst/>
        </a:prstGeom>
      </cdr:spPr>
    </cdr:pic>
  </cdr:relSizeAnchor>
</c:userShapes>
</file>

<file path=xl/drawings/drawing14.xml><?xml version="1.0" encoding="utf-8"?>
<c:userShapes xmlns:c="http://schemas.openxmlformats.org/drawingml/2006/chart">
  <cdr:relSizeAnchor xmlns:cdr="http://schemas.openxmlformats.org/drawingml/2006/chartDrawing">
    <cdr:from>
      <cdr:x>0.95065</cdr:x>
      <cdr:y>0.90728</cdr:y>
    </cdr:from>
    <cdr:to>
      <cdr:x>0.99782</cdr:x>
      <cdr:y>0.99217</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07136" y="2443275"/>
          <a:ext cx="228600" cy="228600"/>
        </a:xfrm>
        <a:prstGeom xmlns:a="http://schemas.openxmlformats.org/drawingml/2006/main" prst="rect">
          <a:avLst/>
        </a:prstGeom>
      </cdr:spPr>
    </cdr:pic>
  </cdr:relSizeAnchor>
</c:userShapes>
</file>

<file path=xl/drawings/drawing15.xml><?xml version="1.0" encoding="utf-8"?>
<c:userShapes xmlns:c="http://schemas.openxmlformats.org/drawingml/2006/chart">
  <cdr:relSizeAnchor xmlns:cdr="http://schemas.openxmlformats.org/drawingml/2006/chartDrawing">
    <cdr:from>
      <cdr:x>0.00655</cdr:x>
      <cdr:y>0.95125</cdr:y>
    </cdr:from>
    <cdr:to>
      <cdr:x>0.05372</cdr:x>
      <cdr:y>0.99868</cdr:y>
    </cdr:to>
    <cdr:pic>
      <cdr:nvPicPr>
        <cdr:cNvPr id="3" name="Picture 2"/>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43" y="4584681"/>
          <a:ext cx="228600" cy="228600"/>
        </a:xfrm>
        <a:prstGeom xmlns:a="http://schemas.openxmlformats.org/drawingml/2006/main" prst="rect">
          <a:avLst/>
        </a:prstGeom>
      </cdr:spPr>
    </cdr:pic>
  </cdr:relSizeAnchor>
</c:userShapes>
</file>

<file path=xl/drawings/drawing16.xml><?xml version="1.0" encoding="utf-8"?>
<c:userShapes xmlns:c="http://schemas.openxmlformats.org/drawingml/2006/chart">
  <cdr:relSizeAnchor xmlns:cdr="http://schemas.openxmlformats.org/drawingml/2006/chartDrawing">
    <cdr:from>
      <cdr:x>0.00592</cdr:x>
      <cdr:y>0.95152</cdr:y>
    </cdr:from>
    <cdr:to>
      <cdr:x>0.04853</cdr:x>
      <cdr:y>0.99273</cdr:y>
    </cdr:to>
    <cdr:pic>
      <cdr:nvPicPr>
        <cdr:cNvPr id="3" name="Picture 2"/>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1760" y="5278682"/>
          <a:ext cx="228600" cy="228600"/>
        </a:xfrm>
        <a:prstGeom xmlns:a="http://schemas.openxmlformats.org/drawingml/2006/main" prst="rect">
          <a:avLst/>
        </a:prstGeom>
      </cdr:spPr>
    </cdr:pic>
  </cdr:relSizeAnchor>
</c:userShapes>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7</xdr:row>
          <xdr:rowOff>9525</xdr:rowOff>
        </xdr:from>
        <xdr:to>
          <xdr:col>7</xdr:col>
          <xdr:colOff>714375</xdr:colOff>
          <xdr:row>7</xdr:row>
          <xdr:rowOff>333375</xdr:rowOff>
        </xdr:to>
        <xdr:sp macro="" textlink="">
          <xdr:nvSpPr>
            <xdr:cNvPr id="228353" name="Drop Down 1" hidden="1">
              <a:extLst>
                <a:ext uri="{63B3BB69-23CF-44E3-9099-C40C66FF867C}">
                  <a14:compatExt spid="_x0000_s228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105833</xdr:colOff>
      <xdr:row>1</xdr:row>
      <xdr:rowOff>55033</xdr:rowOff>
    </xdr:from>
    <xdr:to>
      <xdr:col>2</xdr:col>
      <xdr:colOff>26247</xdr:colOff>
      <xdr:row>1</xdr:row>
      <xdr:rowOff>237913</xdr:rowOff>
    </xdr:to>
    <xdr:pic>
      <xdr:nvPicPr>
        <xdr:cNvPr id="3" name="Picture 2">
          <a:hlinkClick xmlns:r="http://schemas.openxmlformats.org/officeDocument/2006/relationships" r:id="rId1" tooltip="Go back to General Info to change how you sell your produc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3" y="105833"/>
          <a:ext cx="182880" cy="182880"/>
        </a:xfrm>
        <a:prstGeom prst="rect">
          <a:avLst/>
        </a:prstGeom>
      </xdr:spPr>
    </xdr:pic>
    <xdr:clientData fPrintsWithSheet="0"/>
  </xdr:twoCellAnchor>
  <xdr:twoCellAnchor editAs="oneCell">
    <xdr:from>
      <xdr:col>5</xdr:col>
      <xdr:colOff>8467</xdr:colOff>
      <xdr:row>11</xdr:row>
      <xdr:rowOff>46566</xdr:rowOff>
    </xdr:from>
    <xdr:to>
      <xdr:col>9</xdr:col>
      <xdr:colOff>212</xdr:colOff>
      <xdr:row>13</xdr:row>
      <xdr:rowOff>98552</xdr:rowOff>
    </xdr:to>
    <xdr:graphicFrame macro="">
      <xdr:nvGraphicFramePr>
        <xdr:cNvPr id="4"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8467</xdr:colOff>
      <xdr:row>13</xdr:row>
      <xdr:rowOff>186268</xdr:rowOff>
    </xdr:from>
    <xdr:to>
      <xdr:col>8</xdr:col>
      <xdr:colOff>638387</xdr:colOff>
      <xdr:row>15</xdr:row>
      <xdr:rowOff>81620</xdr:rowOff>
    </xdr:to>
    <xdr:graphicFrame macro="">
      <xdr:nvGraphicFramePr>
        <xdr:cNvPr id="7" name="Chart 6">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825500</xdr:colOff>
      <xdr:row>3</xdr:row>
      <xdr:rowOff>88903</xdr:rowOff>
    </xdr:from>
    <xdr:to>
      <xdr:col>7</xdr:col>
      <xdr:colOff>618066</xdr:colOff>
      <xdr:row>6</xdr:row>
      <xdr:rowOff>95250</xdr:rowOff>
    </xdr:to>
    <xdr:sp macro="" textlink="">
      <xdr:nvSpPr>
        <xdr:cNvPr id="9" name="Rectangle 8">
          <a:hlinkClick xmlns:r="http://schemas.openxmlformats.org/officeDocument/2006/relationships" r:id="rId5"/>
        </xdr:cNvPr>
        <xdr:cNvSpPr/>
      </xdr:nvSpPr>
      <xdr:spPr>
        <a:xfrm>
          <a:off x="1025525" y="593728"/>
          <a:ext cx="4021666" cy="596897"/>
        </a:xfrm>
        <a:prstGeom prst="rect">
          <a:avLst/>
        </a:prstGeom>
        <a:blipFill dpi="0" rotWithShape="1">
          <a:blip xmlns:r="http://schemas.openxmlformats.org/officeDocument/2006/relationships" r:embed="rId6"/>
          <a:srcRect/>
          <a:stretch>
            <a:fillRect/>
          </a:stretch>
        </a:blipFill>
        <a:ln w="19050">
          <a:solidFill>
            <a:srgbClr val="157C29"/>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n-US" sz="1400">
              <a:solidFill>
                <a:schemeClr val="tx1"/>
              </a:solidFill>
            </a:rPr>
            <a:t>Click here to go to the </a:t>
          </a:r>
          <a:r>
            <a:rPr lang="en-US" sz="1400" b="1">
              <a:solidFill>
                <a:srgbClr val="157C29"/>
              </a:solidFill>
              <a:latin typeface="Arial Black" panose="020B0A04020102020204" pitchFamily="34" charset="0"/>
            </a:rPr>
            <a:t>FINBIN</a:t>
          </a:r>
          <a:r>
            <a:rPr lang="en-US" sz="1400">
              <a:solidFill>
                <a:srgbClr val="157C29"/>
              </a:solidFill>
            </a:rPr>
            <a:t> </a:t>
          </a:r>
          <a:r>
            <a:rPr lang="en-US" sz="1400">
              <a:solidFill>
                <a:schemeClr val="tx1"/>
              </a:solidFill>
            </a:rPr>
            <a:t>Compare Your Farm tool to compare your information to other producers</a:t>
          </a:r>
        </a:p>
      </xdr:txBody>
    </xdr:sp>
    <xdr:clientData/>
  </xdr:twoCellAnchor>
  <xdr:twoCellAnchor>
    <xdr:from>
      <xdr:col>5</xdr:col>
      <xdr:colOff>8467</xdr:colOff>
      <xdr:row>16</xdr:row>
      <xdr:rowOff>63500</xdr:rowOff>
    </xdr:from>
    <xdr:to>
      <xdr:col>8</xdr:col>
      <xdr:colOff>638387</xdr:colOff>
      <xdr:row>18</xdr:row>
      <xdr:rowOff>42333</xdr:rowOff>
    </xdr:to>
    <xdr:graphicFrame macro="">
      <xdr:nvGraphicFramePr>
        <xdr:cNvPr id="8" name="Chart 7">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8467</xdr:colOff>
      <xdr:row>17</xdr:row>
      <xdr:rowOff>241301</xdr:rowOff>
    </xdr:from>
    <xdr:to>
      <xdr:col>8</xdr:col>
      <xdr:colOff>638387</xdr:colOff>
      <xdr:row>19</xdr:row>
      <xdr:rowOff>63501</xdr:rowOff>
    </xdr:to>
    <xdr:graphicFrame macro="">
      <xdr:nvGraphicFramePr>
        <xdr:cNvPr id="10" name="Chart 9">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8467</xdr:colOff>
      <xdr:row>18</xdr:row>
      <xdr:rowOff>228599</xdr:rowOff>
    </xdr:from>
    <xdr:to>
      <xdr:col>8</xdr:col>
      <xdr:colOff>638387</xdr:colOff>
      <xdr:row>20</xdr:row>
      <xdr:rowOff>50799</xdr:rowOff>
    </xdr:to>
    <xdr:graphicFrame macro="">
      <xdr:nvGraphicFramePr>
        <xdr:cNvPr id="11" name="Chart 10">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8467</xdr:colOff>
      <xdr:row>22</xdr:row>
      <xdr:rowOff>262466</xdr:rowOff>
    </xdr:from>
    <xdr:to>
      <xdr:col>8</xdr:col>
      <xdr:colOff>638387</xdr:colOff>
      <xdr:row>24</xdr:row>
      <xdr:rowOff>84666</xdr:rowOff>
    </xdr:to>
    <xdr:graphicFrame macro="">
      <xdr:nvGraphicFramePr>
        <xdr:cNvPr id="12" name="Chart 1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8467</xdr:colOff>
      <xdr:row>23</xdr:row>
      <xdr:rowOff>258234</xdr:rowOff>
    </xdr:from>
    <xdr:to>
      <xdr:col>8</xdr:col>
      <xdr:colOff>638387</xdr:colOff>
      <xdr:row>25</xdr:row>
      <xdr:rowOff>80434</xdr:rowOff>
    </xdr:to>
    <xdr:graphicFrame macro="">
      <xdr:nvGraphicFramePr>
        <xdr:cNvPr id="13" name="Chart 1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8467</xdr:colOff>
      <xdr:row>24</xdr:row>
      <xdr:rowOff>279400</xdr:rowOff>
    </xdr:from>
    <xdr:to>
      <xdr:col>8</xdr:col>
      <xdr:colOff>638387</xdr:colOff>
      <xdr:row>26</xdr:row>
      <xdr:rowOff>101600</xdr:rowOff>
    </xdr:to>
    <xdr:graphicFrame macro="">
      <xdr:nvGraphicFramePr>
        <xdr:cNvPr id="14" name="Chart 1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8467</xdr:colOff>
      <xdr:row>27</xdr:row>
      <xdr:rowOff>80434</xdr:rowOff>
    </xdr:from>
    <xdr:to>
      <xdr:col>8</xdr:col>
      <xdr:colOff>638387</xdr:colOff>
      <xdr:row>29</xdr:row>
      <xdr:rowOff>59267</xdr:rowOff>
    </xdr:to>
    <xdr:graphicFrame macro="">
      <xdr:nvGraphicFramePr>
        <xdr:cNvPr id="15" name="Chart 14">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8467</xdr:colOff>
      <xdr:row>30</xdr:row>
      <xdr:rowOff>45509</xdr:rowOff>
    </xdr:from>
    <xdr:to>
      <xdr:col>9</xdr:col>
      <xdr:colOff>212</xdr:colOff>
      <xdr:row>32</xdr:row>
      <xdr:rowOff>24342</xdr:rowOff>
    </xdr:to>
    <xdr:graphicFrame macro="">
      <xdr:nvGraphicFramePr>
        <xdr:cNvPr id="16" name="Chart 1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8467</xdr:colOff>
      <xdr:row>31</xdr:row>
      <xdr:rowOff>215900</xdr:rowOff>
    </xdr:from>
    <xdr:to>
      <xdr:col>8</xdr:col>
      <xdr:colOff>638387</xdr:colOff>
      <xdr:row>33</xdr:row>
      <xdr:rowOff>38100</xdr:rowOff>
    </xdr:to>
    <xdr:graphicFrame macro="">
      <xdr:nvGraphicFramePr>
        <xdr:cNvPr id="18" name="Chart 17">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8467</xdr:colOff>
      <xdr:row>32</xdr:row>
      <xdr:rowOff>258234</xdr:rowOff>
    </xdr:from>
    <xdr:to>
      <xdr:col>9</xdr:col>
      <xdr:colOff>212</xdr:colOff>
      <xdr:row>34</xdr:row>
      <xdr:rowOff>80434</xdr:rowOff>
    </xdr:to>
    <xdr:graphicFrame macro="">
      <xdr:nvGraphicFramePr>
        <xdr:cNvPr id="19" name="Chart 18">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8467</xdr:colOff>
      <xdr:row>33</xdr:row>
      <xdr:rowOff>254001</xdr:rowOff>
    </xdr:from>
    <xdr:to>
      <xdr:col>8</xdr:col>
      <xdr:colOff>638387</xdr:colOff>
      <xdr:row>35</xdr:row>
      <xdr:rowOff>76201</xdr:rowOff>
    </xdr:to>
    <xdr:graphicFrame macro="">
      <xdr:nvGraphicFramePr>
        <xdr:cNvPr id="20" name="Chart 19">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8467</xdr:colOff>
      <xdr:row>34</xdr:row>
      <xdr:rowOff>292100</xdr:rowOff>
    </xdr:from>
    <xdr:to>
      <xdr:col>8</xdr:col>
      <xdr:colOff>638387</xdr:colOff>
      <xdr:row>36</xdr:row>
      <xdr:rowOff>114300</xdr:rowOff>
    </xdr:to>
    <xdr:graphicFrame macro="">
      <xdr:nvGraphicFramePr>
        <xdr:cNvPr id="21" name="Chart 20">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190500</xdr:colOff>
          <xdr:row>8</xdr:row>
          <xdr:rowOff>57150</xdr:rowOff>
        </xdr:from>
        <xdr:to>
          <xdr:col>8</xdr:col>
          <xdr:colOff>209550</xdr:colOff>
          <xdr:row>9</xdr:row>
          <xdr:rowOff>314325</xdr:rowOff>
        </xdr:to>
        <xdr:sp macro="" textlink="">
          <xdr:nvSpPr>
            <xdr:cNvPr id="228354" name="Drop Down 2" hidden="1">
              <a:extLst>
                <a:ext uri="{63B3BB69-23CF-44E3-9099-C40C66FF867C}">
                  <a14:compatExt spid="_x0000_s228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8</xdr:col>
      <xdr:colOff>643465</xdr:colOff>
      <xdr:row>0</xdr:row>
      <xdr:rowOff>42334</xdr:rowOff>
    </xdr:from>
    <xdr:to>
      <xdr:col>12</xdr:col>
      <xdr:colOff>241510</xdr:colOff>
      <xdr:row>3</xdr:row>
      <xdr:rowOff>99907</xdr:rowOff>
    </xdr:to>
    <xdr:sp macro="[0]!PrintBS_Final" textlink="">
      <xdr:nvSpPr>
        <xdr:cNvPr id="24" name="Rectangle 23">
          <a:hlinkClick xmlns:r="http://schemas.openxmlformats.org/officeDocument/2006/relationships" r:id="rId19" tooltip="Go to the Financial Scorecard"/>
        </xdr:cNvPr>
        <xdr:cNvSpPr/>
      </xdr:nvSpPr>
      <xdr:spPr>
        <a:xfrm>
          <a:off x="6290732" y="42334"/>
          <a:ext cx="2204720" cy="548640"/>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fPrintsWithSheet="0"/>
  </xdr:twoCellAnchor>
  <xdr:twoCellAnchor editAs="oneCell">
    <xdr:from>
      <xdr:col>8</xdr:col>
      <xdr:colOff>643465</xdr:colOff>
      <xdr:row>4</xdr:row>
      <xdr:rowOff>7</xdr:rowOff>
    </xdr:from>
    <xdr:to>
      <xdr:col>12</xdr:col>
      <xdr:colOff>240494</xdr:colOff>
      <xdr:row>6</xdr:row>
      <xdr:rowOff>121080</xdr:rowOff>
    </xdr:to>
    <xdr:sp macro="" textlink="">
      <xdr:nvSpPr>
        <xdr:cNvPr id="25" name="Rectangle 24">
          <a:hlinkClick xmlns:r="http://schemas.openxmlformats.org/officeDocument/2006/relationships" r:id="rId20" tooltip="Click to go to the final cash flow plan to print the summarized cash flow plan."/>
        </xdr:cNvPr>
        <xdr:cNvSpPr/>
      </xdr:nvSpPr>
      <xdr:spPr>
        <a:xfrm>
          <a:off x="6290732" y="651940"/>
          <a:ext cx="2203704"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Final </a:t>
          </a:r>
          <a:r>
            <a:rPr lang="en-US" sz="1400" b="1" baseline="0"/>
            <a:t>Cash Flow Plan</a:t>
          </a:r>
          <a:endParaRPr lang="en-US" sz="1400" b="1"/>
        </a:p>
      </xdr:txBody>
    </xdr:sp>
    <xdr:clientData fPrintsWithSheet="0"/>
  </xdr:twoCellAnchor>
  <xdr:twoCellAnchor editAs="oneCell">
    <xdr:from>
      <xdr:col>8</xdr:col>
      <xdr:colOff>643465</xdr:colOff>
      <xdr:row>7</xdr:row>
      <xdr:rowOff>21182</xdr:rowOff>
    </xdr:from>
    <xdr:to>
      <xdr:col>12</xdr:col>
      <xdr:colOff>240494</xdr:colOff>
      <xdr:row>9</xdr:row>
      <xdr:rowOff>150722</xdr:rowOff>
    </xdr:to>
    <xdr:sp macro="[0]!PrintBS_Final" textlink="">
      <xdr:nvSpPr>
        <xdr:cNvPr id="26" name="Rectangle 25">
          <a:hlinkClick xmlns:r="http://schemas.openxmlformats.org/officeDocument/2006/relationships" r:id="rId21" tooltip="Go to General Info"/>
        </xdr:cNvPr>
        <xdr:cNvSpPr/>
      </xdr:nvSpPr>
      <xdr:spPr>
        <a:xfrm>
          <a:off x="6290732" y="1261549"/>
          <a:ext cx="2203704"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9</xdr:col>
      <xdr:colOff>0</xdr:colOff>
      <xdr:row>9</xdr:row>
      <xdr:rowOff>203199</xdr:rowOff>
    </xdr:from>
    <xdr:to>
      <xdr:col>12</xdr:col>
      <xdr:colOff>240495</xdr:colOff>
      <xdr:row>12</xdr:row>
      <xdr:rowOff>95673</xdr:rowOff>
    </xdr:to>
    <xdr:sp macro="[0]!PrintBS_Final" textlink="">
      <xdr:nvSpPr>
        <xdr:cNvPr id="27" name="Rectangle 26">
          <a:hlinkClick xmlns:r="http://schemas.openxmlformats.org/officeDocument/2006/relationships" r:id="rId22" tooltip="Go to Balance Sheet Simple Data Entry"/>
        </xdr:cNvPr>
        <xdr:cNvSpPr/>
      </xdr:nvSpPr>
      <xdr:spPr>
        <a:xfrm>
          <a:off x="6290733" y="1862666"/>
          <a:ext cx="2234395" cy="54864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Final </a:t>
          </a:r>
          <a:r>
            <a:rPr lang="en-US" sz="1400" b="1"/>
            <a:t>Balance Sheet</a:t>
          </a:r>
        </a:p>
      </xdr:txBody>
    </xdr:sp>
    <xdr:clientData fPrintsWithSheet="0"/>
  </xdr:twoCellAnchor>
  <xdr:twoCellAnchor editAs="oneCell">
    <xdr:from>
      <xdr:col>9</xdr:col>
      <xdr:colOff>0</xdr:colOff>
      <xdr:row>12</xdr:row>
      <xdr:rowOff>198967</xdr:rowOff>
    </xdr:from>
    <xdr:to>
      <xdr:col>12</xdr:col>
      <xdr:colOff>237236</xdr:colOff>
      <xdr:row>17</xdr:row>
      <xdr:rowOff>161153</xdr:rowOff>
    </xdr:to>
    <xdr:pic>
      <xdr:nvPicPr>
        <xdr:cNvPr id="28" name="Picture 27">
          <a:hlinkClick xmlns:r="http://schemas.openxmlformats.org/officeDocument/2006/relationships" r:id="rId23" tooltip="View Interpreting Financial Statements and Measures to help understand your ratios!"/>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838825" y="2532592"/>
          <a:ext cx="2085086" cy="1229011"/>
        </a:xfrm>
        <a:prstGeom prst="rect">
          <a:avLst/>
        </a:prstGeom>
        <a:ln w="12700">
          <a:solidFill>
            <a:sysClr val="windowText" lastClr="000000"/>
          </a:solidFill>
        </a:ln>
      </xdr:spPr>
    </xdr:pic>
    <xdr:clientData fPrintsWithSheet="0"/>
  </xdr:twoCellAnchor>
  <xdr:twoCellAnchor editAs="oneCell">
    <xdr:from>
      <xdr:col>9</xdr:col>
      <xdr:colOff>0</xdr:colOff>
      <xdr:row>17</xdr:row>
      <xdr:rowOff>257206</xdr:rowOff>
    </xdr:from>
    <xdr:to>
      <xdr:col>12</xdr:col>
      <xdr:colOff>236982</xdr:colOff>
      <xdr:row>22</xdr:row>
      <xdr:rowOff>86548</xdr:rowOff>
    </xdr:to>
    <xdr:pic>
      <xdr:nvPicPr>
        <xdr:cNvPr id="2" name="Picture 1">
          <a:hlinkClick xmlns:r="http://schemas.openxmlformats.org/officeDocument/2006/relationships" r:id="rId25"/>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5838825" y="3857656"/>
          <a:ext cx="2084832" cy="1096167"/>
        </a:xfrm>
        <a:prstGeom prst="rect">
          <a:avLst/>
        </a:prstGeom>
        <a:ln w="12700" cap="sq">
          <a:solidFill>
            <a:srgbClr val="000000"/>
          </a:solidFill>
          <a:miter lim="800000"/>
        </a:ln>
        <a:effectLst>
          <a:outerShdw blurRad="57150" dist="50800" dir="2700000" algn="tl" rotWithShape="0">
            <a:srgbClr val="000000">
              <a:alpha val="40000"/>
            </a:srgbClr>
          </a:outerShdw>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8</xdr:col>
      <xdr:colOff>501058</xdr:colOff>
      <xdr:row>33</xdr:row>
      <xdr:rowOff>21175</xdr:rowOff>
    </xdr:from>
    <xdr:to>
      <xdr:col>16</xdr:col>
      <xdr:colOff>583692</xdr:colOff>
      <xdr:row>50</xdr:row>
      <xdr:rowOff>29642</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342901</xdr:colOff>
      <xdr:row>21</xdr:row>
      <xdr:rowOff>65624</xdr:rowOff>
    </xdr:from>
    <xdr:to>
      <xdr:col>3</xdr:col>
      <xdr:colOff>590551</xdr:colOff>
      <xdr:row>24</xdr:row>
      <xdr:rowOff>122775</xdr:rowOff>
    </xdr:to>
    <xdr:sp macro="" textlink="">
      <xdr:nvSpPr>
        <xdr:cNvPr id="7" name="TextBox 6"/>
        <xdr:cNvSpPr txBox="1"/>
      </xdr:nvSpPr>
      <xdr:spPr>
        <a:xfrm>
          <a:off x="342901" y="3443824"/>
          <a:ext cx="2178050" cy="539751"/>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income &amp; expenses would</a:t>
          </a:r>
          <a:r>
            <a:rPr lang="en-US" sz="1200" b="1" baseline="0">
              <a:solidFill>
                <a:schemeClr val="bg1"/>
              </a:solidFill>
            </a:rPr>
            <a:t> you like to examine?</a:t>
          </a:r>
          <a:endParaRPr lang="en-US" sz="1200" b="1">
            <a:solidFill>
              <a:schemeClr val="bg1"/>
            </a:solidFill>
          </a:endParaRPr>
        </a:p>
      </xdr:txBody>
    </xdr:sp>
    <xdr:clientData/>
  </xdr:twoCellAnchor>
  <xdr:twoCellAnchor>
    <xdr:from>
      <xdr:col>0</xdr:col>
      <xdr:colOff>266700</xdr:colOff>
      <xdr:row>4</xdr:row>
      <xdr:rowOff>85724</xdr:rowOff>
    </xdr:from>
    <xdr:to>
      <xdr:col>8</xdr:col>
      <xdr:colOff>257175</xdr:colOff>
      <xdr:row>20</xdr:row>
      <xdr:rowOff>72178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104775</xdr:colOff>
          <xdr:row>0</xdr:row>
          <xdr:rowOff>152400</xdr:rowOff>
        </xdr:from>
        <xdr:to>
          <xdr:col>4</xdr:col>
          <xdr:colOff>561975</xdr:colOff>
          <xdr:row>4</xdr:row>
          <xdr:rowOff>57150</xdr:rowOff>
        </xdr:to>
        <xdr:sp macro="" textlink="">
          <xdr:nvSpPr>
            <xdr:cNvPr id="235521" name="Drop Down 1" hidden="1">
              <a:extLst>
                <a:ext uri="{63B3BB69-23CF-44E3-9099-C40C66FF867C}">
                  <a14:compatExt spid="_x0000_s2355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0</xdr:row>
          <xdr:rowOff>152400</xdr:rowOff>
        </xdr:from>
        <xdr:to>
          <xdr:col>11</xdr:col>
          <xdr:colOff>0</xdr:colOff>
          <xdr:row>4</xdr:row>
          <xdr:rowOff>57150</xdr:rowOff>
        </xdr:to>
        <xdr:sp macro="" textlink="">
          <xdr:nvSpPr>
            <xdr:cNvPr id="235522" name="Drop Down 2" hidden="1">
              <a:extLst>
                <a:ext uri="{63B3BB69-23CF-44E3-9099-C40C66FF867C}">
                  <a14:compatExt spid="_x0000_s235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0</xdr:row>
          <xdr:rowOff>152400</xdr:rowOff>
        </xdr:from>
        <xdr:to>
          <xdr:col>16</xdr:col>
          <xdr:colOff>571500</xdr:colOff>
          <xdr:row>4</xdr:row>
          <xdr:rowOff>57150</xdr:rowOff>
        </xdr:to>
        <xdr:sp macro="" textlink="">
          <xdr:nvSpPr>
            <xdr:cNvPr id="235523" name="Drop Down 3" hidden="1">
              <a:extLst>
                <a:ext uri="{63B3BB69-23CF-44E3-9099-C40C66FF867C}">
                  <a14:compatExt spid="_x0000_s2355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oneCell">
    <xdr:from>
      <xdr:col>8</xdr:col>
      <xdr:colOff>501058</xdr:colOff>
      <xdr:row>4</xdr:row>
      <xdr:rowOff>85724</xdr:rowOff>
    </xdr:from>
    <xdr:to>
      <xdr:col>16</xdr:col>
      <xdr:colOff>580644</xdr:colOff>
      <xdr:row>20</xdr:row>
      <xdr:rowOff>72178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512281</xdr:colOff>
      <xdr:row>20</xdr:row>
      <xdr:rowOff>125949</xdr:rowOff>
    </xdr:from>
    <xdr:to>
      <xdr:col>14</xdr:col>
      <xdr:colOff>188431</xdr:colOff>
      <xdr:row>32</xdr:row>
      <xdr:rowOff>135474</xdr:rowOff>
    </xdr:to>
    <xdr:pic>
      <xdr:nvPicPr>
        <xdr:cNvPr id="5" name="Picture 4">
          <a:hlinkClick xmlns:r="http://schemas.openxmlformats.org/officeDocument/2006/relationships" r:id="rId4" tooltip="View Interpreting Financial Statements and Measures to help understand your ratios!"/>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660014" y="3343282"/>
          <a:ext cx="3536950" cy="1939925"/>
        </a:xfrm>
        <a:prstGeom prst="rect">
          <a:avLst/>
        </a:prstGeom>
        <a:ln w="12700">
          <a:solidFill>
            <a:sysClr val="windowText" lastClr="000000"/>
          </a:solidFill>
        </a:ln>
      </xdr:spPr>
    </xdr:pic>
    <xdr:clientData/>
  </xdr:twoCellAnchor>
  <xdr:twoCellAnchor editAs="oneCell">
    <xdr:from>
      <xdr:col>9</xdr:col>
      <xdr:colOff>641978</xdr:colOff>
      <xdr:row>22</xdr:row>
      <xdr:rowOff>33867</xdr:rowOff>
    </xdr:from>
    <xdr:to>
      <xdr:col>13</xdr:col>
      <xdr:colOff>58733</xdr:colOff>
      <xdr:row>25</xdr:row>
      <xdr:rowOff>100542</xdr:rowOff>
    </xdr:to>
    <xdr:pic>
      <xdr:nvPicPr>
        <xdr:cNvPr id="3" name="Picture 2">
          <a:hlinkClick xmlns:r="http://schemas.openxmlformats.org/officeDocument/2006/relationships" r:id="rId4" tooltip="View Interpreting Financial Statements and Measures to help understand your ratios!"/>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433178" y="3572934"/>
          <a:ext cx="1990622" cy="5492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21</xdr:row>
          <xdr:rowOff>66675</xdr:rowOff>
        </xdr:from>
        <xdr:to>
          <xdr:col>7</xdr:col>
          <xdr:colOff>381000</xdr:colOff>
          <xdr:row>24</xdr:row>
          <xdr:rowOff>123825</xdr:rowOff>
        </xdr:to>
        <xdr:sp macro="" textlink="">
          <xdr:nvSpPr>
            <xdr:cNvPr id="235524" name="Drop Down 4" hidden="1">
              <a:extLst>
                <a:ext uri="{63B3BB69-23CF-44E3-9099-C40C66FF867C}">
                  <a14:compatExt spid="_x0000_s2355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0</xdr:col>
      <xdr:colOff>269367</xdr:colOff>
      <xdr:row>25</xdr:row>
      <xdr:rowOff>8474</xdr:rowOff>
    </xdr:from>
    <xdr:to>
      <xdr:col>8</xdr:col>
      <xdr:colOff>257175</xdr:colOff>
      <xdr:row>42</xdr:row>
      <xdr:rowOff>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266700</xdr:colOff>
      <xdr:row>0</xdr:row>
      <xdr:rowOff>157162</xdr:rowOff>
    </xdr:from>
    <xdr:to>
      <xdr:col>3</xdr:col>
      <xdr:colOff>61384</xdr:colOff>
      <xdr:row>4</xdr:row>
      <xdr:rowOff>52388</xdr:rowOff>
    </xdr:to>
    <xdr:sp macro="" textlink="">
      <xdr:nvSpPr>
        <xdr:cNvPr id="13" name="TextBox 12"/>
        <xdr:cNvSpPr txBox="1"/>
      </xdr:nvSpPr>
      <xdr:spPr>
        <a:xfrm>
          <a:off x="266700" y="157162"/>
          <a:ext cx="1725084" cy="538693"/>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year would you like to </a:t>
          </a:r>
          <a:r>
            <a:rPr lang="en-US" sz="1200" b="1" baseline="0">
              <a:solidFill>
                <a:schemeClr val="bg1"/>
              </a:solidFill>
            </a:rPr>
            <a:t>examine?</a:t>
          </a:r>
          <a:endParaRPr lang="en-US" sz="1200" b="1">
            <a:solidFill>
              <a:schemeClr val="bg1"/>
            </a:solidFill>
          </a:endParaRPr>
        </a:p>
      </xdr:txBody>
    </xdr:sp>
    <xdr:clientData/>
  </xdr:twoCellAnchor>
  <xdr:twoCellAnchor>
    <xdr:from>
      <xdr:col>4</xdr:col>
      <xdr:colOff>588429</xdr:colOff>
      <xdr:row>0</xdr:row>
      <xdr:rowOff>157162</xdr:rowOff>
    </xdr:from>
    <xdr:to>
      <xdr:col>8</xdr:col>
      <xdr:colOff>340780</xdr:colOff>
      <xdr:row>4</xdr:row>
      <xdr:rowOff>52388</xdr:rowOff>
    </xdr:to>
    <xdr:sp macro="" textlink="">
      <xdr:nvSpPr>
        <xdr:cNvPr id="14" name="TextBox 13"/>
        <xdr:cNvSpPr txBox="1"/>
      </xdr:nvSpPr>
      <xdr:spPr>
        <a:xfrm>
          <a:off x="3162296" y="157162"/>
          <a:ext cx="2326217" cy="538693"/>
        </a:xfrm>
        <a:prstGeom prst="rect">
          <a:avLst/>
        </a:prstGeom>
        <a:solidFill>
          <a:srgbClr val="4A89D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Which farm financial standards ratio do you want to examine</a:t>
          </a:r>
          <a:r>
            <a:rPr lang="en-US" sz="1200" b="1" baseline="0">
              <a:solidFill>
                <a:schemeClr val="bg1"/>
              </a:solidFill>
            </a:rPr>
            <a:t>?</a:t>
          </a:r>
          <a:endParaRPr lang="en-US" sz="1200" b="1">
            <a:solidFill>
              <a:schemeClr val="bg1"/>
            </a:solidFill>
          </a:endParaRPr>
        </a:p>
      </xdr:txBody>
    </xdr:sp>
    <xdr:clientData/>
  </xdr:twoCellAnchor>
  <xdr:twoCellAnchor>
    <xdr:from>
      <xdr:col>11</xdr:col>
      <xdr:colOff>51863</xdr:colOff>
      <xdr:row>0</xdr:row>
      <xdr:rowOff>157162</xdr:rowOff>
    </xdr:from>
    <xdr:to>
      <xdr:col>13</xdr:col>
      <xdr:colOff>215900</xdr:colOff>
      <xdr:row>4</xdr:row>
      <xdr:rowOff>52388</xdr:rowOff>
    </xdr:to>
    <xdr:sp macro="" textlink="">
      <xdr:nvSpPr>
        <xdr:cNvPr id="15" name="TextBox 14"/>
        <xdr:cNvSpPr txBox="1"/>
      </xdr:nvSpPr>
      <xdr:spPr>
        <a:xfrm>
          <a:off x="7129996" y="157162"/>
          <a:ext cx="1450971" cy="538693"/>
        </a:xfrm>
        <a:prstGeom prst="rect">
          <a:avLst/>
        </a:prstGeom>
        <a:solidFill>
          <a:srgbClr val="4A89DC"/>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How do you sell your product</a:t>
          </a:r>
          <a:r>
            <a:rPr lang="en-US" sz="1200" b="1" baseline="0">
              <a:solidFill>
                <a:schemeClr val="bg1"/>
              </a:solidFill>
            </a:rPr>
            <a:t>?</a:t>
          </a:r>
          <a:endParaRPr lang="en-US" sz="1200" b="1">
            <a:solidFill>
              <a:schemeClr val="bg1"/>
            </a:solidFill>
          </a:endParaRPr>
        </a:p>
      </xdr:txBody>
    </xdr:sp>
    <xdr:clientData/>
  </xdr:twoCellAnchor>
  <xdr:twoCellAnchor>
    <xdr:from>
      <xdr:col>14</xdr:col>
      <xdr:colOff>249767</xdr:colOff>
      <xdr:row>20</xdr:row>
      <xdr:rowOff>125949</xdr:rowOff>
    </xdr:from>
    <xdr:to>
      <xdr:col>16</xdr:col>
      <xdr:colOff>608753</xdr:colOff>
      <xdr:row>24</xdr:row>
      <xdr:rowOff>31122</xdr:rowOff>
    </xdr:to>
    <xdr:sp macro="[0]!PrintBS_Final" textlink="">
      <xdr:nvSpPr>
        <xdr:cNvPr id="18" name="Rectangle 17">
          <a:hlinkClick xmlns:r="http://schemas.openxmlformats.org/officeDocument/2006/relationships" r:id="rId8" tooltip="Go to the Financial Scorecard"/>
        </xdr:cNvPr>
        <xdr:cNvSpPr/>
      </xdr:nvSpPr>
      <xdr:spPr>
        <a:xfrm>
          <a:off x="8784167" y="3364449"/>
          <a:ext cx="1578186" cy="552873"/>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xdr:twoCellAnchor editAs="oneCell">
    <xdr:from>
      <xdr:col>14</xdr:col>
      <xdr:colOff>249766</xdr:colOff>
      <xdr:row>29</xdr:row>
      <xdr:rowOff>71967</xdr:rowOff>
    </xdr:from>
    <xdr:to>
      <xdr:col>16</xdr:col>
      <xdr:colOff>608752</xdr:colOff>
      <xdr:row>32</xdr:row>
      <xdr:rowOff>138007</xdr:rowOff>
    </xdr:to>
    <xdr:sp macro="" textlink="">
      <xdr:nvSpPr>
        <xdr:cNvPr id="20" name="Rectangle 19">
          <a:hlinkClick xmlns:r="http://schemas.openxmlformats.org/officeDocument/2006/relationships" r:id="rId9" tooltip="Click to go to the final cash flow plan to print the summarized cash flow plan."/>
        </xdr:cNvPr>
        <xdr:cNvSpPr/>
      </xdr:nvSpPr>
      <xdr:spPr>
        <a:xfrm>
          <a:off x="9258299" y="4737100"/>
          <a:ext cx="1645920"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Go to Final </a:t>
          </a:r>
          <a:r>
            <a:rPr lang="en-US" sz="1400" b="1" baseline="0"/>
            <a:t>Cash Flow Plan</a:t>
          </a:r>
          <a:endParaRPr lang="en-US" sz="1400" b="1"/>
        </a:p>
      </xdr:txBody>
    </xdr:sp>
    <xdr:clientData fPrintsWithSheet="0"/>
  </xdr:twoCellAnchor>
  <xdr:twoCellAnchor editAs="oneCell">
    <xdr:from>
      <xdr:col>14</xdr:col>
      <xdr:colOff>249766</xdr:colOff>
      <xdr:row>25</xdr:row>
      <xdr:rowOff>17257</xdr:rowOff>
    </xdr:from>
    <xdr:to>
      <xdr:col>16</xdr:col>
      <xdr:colOff>608752</xdr:colOff>
      <xdr:row>28</xdr:row>
      <xdr:rowOff>83297</xdr:rowOff>
    </xdr:to>
    <xdr:sp macro="[0]!PrintBS_Final" textlink="">
      <xdr:nvSpPr>
        <xdr:cNvPr id="21" name="Rectangle 20">
          <a:hlinkClick xmlns:r="http://schemas.openxmlformats.org/officeDocument/2006/relationships" r:id="rId10" tooltip="Go to General Info"/>
        </xdr:cNvPr>
        <xdr:cNvSpPr/>
      </xdr:nvSpPr>
      <xdr:spPr>
        <a:xfrm>
          <a:off x="9258299" y="4038924"/>
          <a:ext cx="1645920"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17</xdr:col>
      <xdr:colOff>209550</xdr:colOff>
      <xdr:row>20</xdr:row>
      <xdr:rowOff>125975</xdr:rowOff>
    </xdr:from>
    <xdr:to>
      <xdr:col>23</xdr:col>
      <xdr:colOff>209550</xdr:colOff>
      <xdr:row>32</xdr:row>
      <xdr:rowOff>105975</xdr:rowOff>
    </xdr:to>
    <xdr:pic>
      <xdr:nvPicPr>
        <xdr:cNvPr id="4" name="Picture 3">
          <a:hlinkClick xmlns:r="http://schemas.openxmlformats.org/officeDocument/2006/relationships" r:id="rId11"/>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572750" y="3364475"/>
          <a:ext cx="3657600" cy="1923100"/>
        </a:xfrm>
        <a:prstGeom prst="rect">
          <a:avLst/>
        </a:prstGeom>
        <a:ln w="952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19.xml><?xml version="1.0" encoding="utf-8"?>
<c:userShapes xmlns:c="http://schemas.openxmlformats.org/drawingml/2006/chart">
  <cdr:relSizeAnchor xmlns:cdr="http://schemas.openxmlformats.org/drawingml/2006/chartDrawing">
    <cdr:from>
      <cdr:x>0.94859</cdr:x>
      <cdr:y>0.0108</cdr:y>
    </cdr:from>
    <cdr:to>
      <cdr:x>0.99404</cdr:x>
      <cdr:y>0.09359</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704469" y="29821"/>
          <a:ext cx="225407" cy="2286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6829</xdr:colOff>
      <xdr:row>25</xdr:row>
      <xdr:rowOff>6651</xdr:rowOff>
    </xdr:from>
    <xdr:to>
      <xdr:col>3</xdr:col>
      <xdr:colOff>144483</xdr:colOff>
      <xdr:row>26</xdr:row>
      <xdr:rowOff>8234</xdr:rowOff>
    </xdr:to>
    <xdr:pic>
      <xdr:nvPicPr>
        <xdr:cNvPr id="2" name="MonthlyIco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97" y="3898294"/>
          <a:ext cx="137654" cy="137654"/>
        </a:xfrm>
        <a:prstGeom prst="rect">
          <a:avLst/>
        </a:prstGeom>
      </xdr:spPr>
    </xdr:pic>
    <xdr:clientData/>
  </xdr:twoCellAnchor>
  <xdr:twoCellAnchor editAs="oneCell">
    <xdr:from>
      <xdr:col>3</xdr:col>
      <xdr:colOff>8693</xdr:colOff>
      <xdr:row>24</xdr:row>
      <xdr:rowOff>2902</xdr:rowOff>
    </xdr:from>
    <xdr:to>
      <xdr:col>3</xdr:col>
      <xdr:colOff>143346</xdr:colOff>
      <xdr:row>25</xdr:row>
      <xdr:rowOff>4485</xdr:rowOff>
    </xdr:to>
    <xdr:pic>
      <xdr:nvPicPr>
        <xdr:cNvPr id="3" name="AnnIco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6257" y="3707847"/>
          <a:ext cx="134653" cy="134653"/>
        </a:xfrm>
        <a:prstGeom prst="rect">
          <a:avLst/>
        </a:prstGeom>
      </xdr:spPr>
    </xdr:pic>
    <xdr:clientData/>
  </xdr:twoCellAnchor>
  <xdr:twoCellAnchor>
    <xdr:from>
      <xdr:col>24</xdr:col>
      <xdr:colOff>38100</xdr:colOff>
      <xdr:row>39</xdr:row>
      <xdr:rowOff>149225</xdr:rowOff>
    </xdr:from>
    <xdr:to>
      <xdr:col>48</xdr:col>
      <xdr:colOff>9525</xdr:colOff>
      <xdr:row>57</xdr:row>
      <xdr:rowOff>19051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10</xdr:col>
          <xdr:colOff>180975</xdr:colOff>
          <xdr:row>38</xdr:row>
          <xdr:rowOff>19050</xdr:rowOff>
        </xdr:from>
        <xdr:to>
          <xdr:col>11</xdr:col>
          <xdr:colOff>523875</xdr:colOff>
          <xdr:row>40</xdr:row>
          <xdr:rowOff>19050</xdr:rowOff>
        </xdr:to>
        <xdr:sp macro="" textlink="">
          <xdr:nvSpPr>
            <xdr:cNvPr id="229379" name="Drop Down 3" hidden="1">
              <a:extLst>
                <a:ext uri="{63B3BB69-23CF-44E3-9099-C40C66FF867C}">
                  <a14:compatExt spid="_x0000_s229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0.xml><?xml version="1.0" encoding="utf-8"?>
<c:userShapes xmlns:c="http://schemas.openxmlformats.org/drawingml/2006/chart">
  <cdr:relSizeAnchor xmlns:cdr="http://schemas.openxmlformats.org/drawingml/2006/chartDrawing">
    <cdr:from>
      <cdr:x>0.01435</cdr:x>
      <cdr:y>0.67653</cdr:y>
    </cdr:from>
    <cdr:to>
      <cdr:x>0.98657</cdr:x>
      <cdr:y>0.99509</cdr:y>
    </cdr:to>
    <cdr:sp macro="" textlink="Inputs!$N$60">
      <cdr:nvSpPr>
        <cdr:cNvPr id="2" name="TextBox 1"/>
        <cdr:cNvSpPr txBox="1"/>
      </cdr:nvSpPr>
      <cdr:spPr>
        <a:xfrm xmlns:a="http://schemas.openxmlformats.org/drawingml/2006/main">
          <a:off x="69845" y="1897385"/>
          <a:ext cx="4732062" cy="893441"/>
        </a:xfrm>
        <a:prstGeom xmlns:a="http://schemas.openxmlformats.org/drawingml/2006/main" prst="rect">
          <a:avLst/>
        </a:prstGeom>
      </cdr:spPr>
      <cdr:txBody>
        <a:bodyPr xmlns:a="http://schemas.openxmlformats.org/drawingml/2006/main" vertOverflow="clip" horzOverflow="clip" wrap="square" rtlCol="0" anchor="ctr" anchorCtr="1">
          <a:noAutofit/>
        </a:bodyPr>
        <a:lstStyle xmlns:a="http://schemas.openxmlformats.org/drawingml/2006/main"/>
        <a:p xmlns:a="http://schemas.openxmlformats.org/drawingml/2006/main">
          <a:fld id="{CBB74C25-3EE5-4292-B2DF-6A683BFF8815}" type="TxLink">
            <a:rPr lang="en-US" sz="1100" b="0" i="0" u="none" strike="noStrike">
              <a:solidFill>
                <a:srgbClr val="000000"/>
              </a:solidFill>
              <a:latin typeface="Arial"/>
              <a:cs typeface="Arial"/>
            </a:rPr>
            <a:pPr/>
            <a:t>The Current Ratio measures the extent to which current farm assets, if sold tomorrow, would pay off current farm liabilities.</a:t>
          </a:fld>
          <a:endParaRPr lang="en-US" sz="1400"/>
        </a:p>
      </cdr:txBody>
    </cdr:sp>
  </cdr:relSizeAnchor>
  <cdr:relSizeAnchor xmlns:cdr="http://schemas.openxmlformats.org/drawingml/2006/chartDrawing">
    <cdr:from>
      <cdr:x>0.00989</cdr:x>
      <cdr:y>0.01823</cdr:y>
    </cdr:from>
    <cdr:to>
      <cdr:x>0.05616</cdr:x>
      <cdr:y>0.10693</cdr:y>
    </cdr:to>
    <cdr:pic>
      <cdr:nvPicPr>
        <cdr:cNvPr id="3" name="Picture 2"/>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8137" y="46983"/>
          <a:ext cx="225209" cy="228600"/>
        </a:xfrm>
        <a:prstGeom xmlns:a="http://schemas.openxmlformats.org/drawingml/2006/main" prst="rect">
          <a:avLst/>
        </a:prstGeom>
      </cdr:spPr>
    </cdr:pic>
  </cdr:relSizeAnchor>
</c:userShapes>
</file>

<file path=xl/drawings/drawing21.xml><?xml version="1.0" encoding="utf-8"?>
<c:userShapes xmlns:c="http://schemas.openxmlformats.org/drawingml/2006/chart">
  <cdr:absSizeAnchor xmlns:cdr="http://schemas.openxmlformats.org/drawingml/2006/chartDrawing">
    <cdr:from>
      <cdr:x>0.94807</cdr:x>
      <cdr:y>0.90371</cdr:y>
    </cdr:from>
    <cdr:ext cx="228600" cy="228598"/>
    <cdr:pic>
      <cdr:nvPicPr>
        <cdr:cNvPr id="3" name="Picture 2"/>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99018" y="2329085"/>
          <a:ext cx="228600" cy="228598"/>
        </a:xfrm>
        <a:prstGeom xmlns:a="http://schemas.openxmlformats.org/drawingml/2006/main" prst="rect">
          <a:avLst/>
        </a:prstGeom>
      </cdr:spPr>
    </cdr:pic>
  </cdr:absSizeAnchor>
</c:userShapes>
</file>

<file path=xl/drawings/drawing22.xml><?xml version="1.0" encoding="utf-8"?>
<c:userShapes xmlns:c="http://schemas.openxmlformats.org/drawingml/2006/chart">
  <cdr:relSizeAnchor xmlns:cdr="http://schemas.openxmlformats.org/drawingml/2006/chartDrawing">
    <cdr:from>
      <cdr:x>0.94714</cdr:x>
      <cdr:y>0.01553</cdr:y>
    </cdr:from>
    <cdr:to>
      <cdr:x>0.99344</cdr:x>
      <cdr:y>0.09883</cdr:y>
    </cdr:to>
    <cdr:pic>
      <cdr:nvPicPr>
        <cdr:cNvPr id="2" name="Picture 1"/>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607465" y="42618"/>
          <a:ext cx="225231" cy="228600"/>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0.0051</cdr:x>
      <cdr:y>0.79572</cdr:y>
    </cdr:from>
    <cdr:to>
      <cdr:x>0.99716</cdr:x>
      <cdr:y>0.906</cdr:y>
    </cdr:to>
    <cdr:sp macro="" textlink="Inputs!$N$60">
      <cdr:nvSpPr>
        <cdr:cNvPr id="2" name="TextBox 1"/>
        <cdr:cNvSpPr txBox="1"/>
      </cdr:nvSpPr>
      <cdr:spPr>
        <a:xfrm xmlns:a="http://schemas.openxmlformats.org/drawingml/2006/main">
          <a:off x="32158" y="3079714"/>
          <a:ext cx="6255484" cy="426784"/>
        </a:xfrm>
        <a:prstGeom xmlns:a="http://schemas.openxmlformats.org/drawingml/2006/main" prst="rect">
          <a:avLst/>
        </a:prstGeom>
      </cdr:spPr>
      <cdr:txBody>
        <a:bodyPr xmlns:a="http://schemas.openxmlformats.org/drawingml/2006/main" vertOverflow="clip" horzOverflow="clip" wrap="square" rtlCol="0" anchor="ctr" anchorCtr="1">
          <a:spAutoFit/>
        </a:bodyPr>
        <a:lstStyle xmlns:a="http://schemas.openxmlformats.org/drawingml/2006/main"/>
        <a:p xmlns:a="http://schemas.openxmlformats.org/drawingml/2006/main">
          <a:fld id="{CBB74C25-3EE5-4292-B2DF-6A683BFF8815}" type="TxLink">
            <a:rPr lang="en-US" sz="1100" b="0" i="0" u="none" strike="noStrike">
              <a:solidFill>
                <a:srgbClr val="000000"/>
              </a:solidFill>
              <a:latin typeface="Arial"/>
              <a:cs typeface="Arial"/>
            </a:rPr>
            <a:pPr/>
            <a:t>The Current Ratio measures the extent to which current farm assets, if sold tomorrow, would pay off current farm liabilities.</a:t>
          </a:fld>
          <a:endParaRPr lang="en-US" sz="14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3129643</xdr:colOff>
      <xdr:row>5</xdr:row>
      <xdr:rowOff>188427</xdr:rowOff>
    </xdr:from>
    <xdr:to>
      <xdr:col>0</xdr:col>
      <xdr:colOff>3312523</xdr:colOff>
      <xdr:row>6</xdr:row>
      <xdr:rowOff>180807</xdr:rowOff>
    </xdr:to>
    <xdr:pic>
      <xdr:nvPicPr>
        <xdr:cNvPr id="3" name="Picture 2">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twoCellAnchor>
  <xdr:twoCellAnchor editAs="oneCell">
    <xdr:from>
      <xdr:col>3</xdr:col>
      <xdr:colOff>3122841</xdr:colOff>
      <xdr:row>6</xdr:row>
      <xdr:rowOff>649</xdr:rowOff>
    </xdr:from>
    <xdr:to>
      <xdr:col>3</xdr:col>
      <xdr:colOff>3304425</xdr:colOff>
      <xdr:row>6</xdr:row>
      <xdr:rowOff>182233</xdr:rowOff>
    </xdr:to>
    <xdr:pic>
      <xdr:nvPicPr>
        <xdr:cNvPr id="14" name="Picture 13">
          <a:hlinkClick xmlns:r="http://schemas.openxmlformats.org/officeDocument/2006/relationships" r:id="rId3"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1210324"/>
          <a:ext cx="181584" cy="181584"/>
        </a:xfrm>
        <a:prstGeom prst="rect">
          <a:avLst/>
        </a:prstGeom>
      </xdr:spPr>
    </xdr:pic>
    <xdr:clientData fPrintsWithSheet="0"/>
  </xdr:twoCellAnchor>
  <xdr:twoCellAnchor editAs="oneCell">
    <xdr:from>
      <xdr:col>6</xdr:col>
      <xdr:colOff>3129189</xdr:colOff>
      <xdr:row>6</xdr:row>
      <xdr:rowOff>648</xdr:rowOff>
    </xdr:from>
    <xdr:to>
      <xdr:col>6</xdr:col>
      <xdr:colOff>3312069</xdr:colOff>
      <xdr:row>6</xdr:row>
      <xdr:rowOff>182232</xdr:rowOff>
    </xdr:to>
    <xdr:pic>
      <xdr:nvPicPr>
        <xdr:cNvPr id="29" name="Picture 28">
          <a:hlinkClick xmlns:r="http://schemas.openxmlformats.org/officeDocument/2006/relationships" r:id="rId4"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207148"/>
          <a:ext cx="182880" cy="181584"/>
        </a:xfrm>
        <a:prstGeom prst="rect">
          <a:avLst/>
        </a:prstGeom>
      </xdr:spPr>
    </xdr:pic>
    <xdr:clientData fPrintsWithSheet="0"/>
  </xdr:twoCellAnchor>
  <xdr:twoCellAnchor editAs="oneCell">
    <xdr:from>
      <xdr:col>4</xdr:col>
      <xdr:colOff>914400</xdr:colOff>
      <xdr:row>1</xdr:row>
      <xdr:rowOff>47244</xdr:rowOff>
    </xdr:from>
    <xdr:to>
      <xdr:col>6</xdr:col>
      <xdr:colOff>1143381</xdr:colOff>
      <xdr:row>3</xdr:row>
      <xdr:rowOff>32004</xdr:rowOff>
    </xdr:to>
    <xdr:sp macro="[0]!PrintBS_Final" textlink="">
      <xdr:nvSpPr>
        <xdr:cNvPr id="28" name="Rectangle 27">
          <a:hlinkClick xmlns:r="http://schemas.openxmlformats.org/officeDocument/2006/relationships" r:id="rId5" tooltip="Go to General Info"/>
        </xdr:cNvPr>
        <xdr:cNvSpPr/>
      </xdr:nvSpPr>
      <xdr:spPr>
        <a:xfrm>
          <a:off x="9324975" y="304419"/>
          <a:ext cx="1591056" cy="36576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28574</xdr:colOff>
      <xdr:row>1</xdr:row>
      <xdr:rowOff>38100</xdr:rowOff>
    </xdr:from>
    <xdr:to>
      <xdr:col>0</xdr:col>
      <xdr:colOff>2314574</xdr:colOff>
      <xdr:row>3</xdr:row>
      <xdr:rowOff>32004</xdr:rowOff>
    </xdr:to>
    <xdr:sp macro="[0]!PrintBS_Final" textlink="">
      <xdr:nvSpPr>
        <xdr:cNvPr id="31" name="Rectangle 30">
          <a:hlinkClick xmlns:r="http://schemas.openxmlformats.org/officeDocument/2006/relationships" r:id="rId6" tooltip="Go to Balance Sheet Simple Data Entry"/>
        </xdr:cNvPr>
        <xdr:cNvSpPr/>
      </xdr:nvSpPr>
      <xdr:spPr>
        <a:xfrm>
          <a:off x="28574" y="295275"/>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xdr:twoCellAnchor>
    <xdr:from>
      <xdr:col>2</xdr:col>
      <xdr:colOff>57149</xdr:colOff>
      <xdr:row>1</xdr:row>
      <xdr:rowOff>38100</xdr:rowOff>
    </xdr:from>
    <xdr:to>
      <xdr:col>3</xdr:col>
      <xdr:colOff>1928954</xdr:colOff>
      <xdr:row>3</xdr:row>
      <xdr:rowOff>32004</xdr:rowOff>
    </xdr:to>
    <xdr:sp macro="[0]!PrintBS_Final" textlink="">
      <xdr:nvSpPr>
        <xdr:cNvPr id="32" name="Rectangle 31">
          <a:hlinkClick xmlns:r="http://schemas.openxmlformats.org/officeDocument/2006/relationships" r:id="rId7" tooltip="Go to Balance Sheet Data Entry"/>
        </xdr:cNvPr>
        <xdr:cNvSpPr/>
      </xdr:nvSpPr>
      <xdr:spPr>
        <a:xfrm>
          <a:off x="4807743" y="294085"/>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Entry</a:t>
          </a:r>
        </a:p>
      </xdr:txBody>
    </xdr:sp>
    <xdr:clientData fPrintsWithSheet="0"/>
  </xdr:twoCellAnchor>
  <xdr:twoCellAnchor>
    <xdr:from>
      <xdr:col>3</xdr:col>
      <xdr:colOff>2026443</xdr:colOff>
      <xdr:row>1</xdr:row>
      <xdr:rowOff>38100</xdr:rowOff>
    </xdr:from>
    <xdr:to>
      <xdr:col>4</xdr:col>
      <xdr:colOff>612124</xdr:colOff>
      <xdr:row>3</xdr:row>
      <xdr:rowOff>32004</xdr:rowOff>
    </xdr:to>
    <xdr:sp macro="[0]!PrintBS_Final" textlink="">
      <xdr:nvSpPr>
        <xdr:cNvPr id="33" name="Rectangle 32">
          <a:hlinkClick xmlns:r="http://schemas.openxmlformats.org/officeDocument/2006/relationships" r:id="rId8" tooltip="Go to Balance Sheet Data Entry"/>
        </xdr:cNvPr>
        <xdr:cNvSpPr/>
      </xdr:nvSpPr>
      <xdr:spPr>
        <a:xfrm>
          <a:off x="7044928" y="294085"/>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a:t>
          </a:r>
          <a:r>
            <a:rPr lang="en-US" sz="1400" b="1" baseline="0"/>
            <a:t>Entry</a:t>
          </a:r>
          <a:endParaRPr lang="en-US" sz="1400" b="1"/>
        </a:p>
      </xdr:txBody>
    </xdr:sp>
    <xdr:clientData fPrintsWithSheet="0"/>
  </xdr:twoCellAnchor>
  <xdr:twoCellAnchor editAs="oneCell">
    <xdr:from>
      <xdr:col>0</xdr:col>
      <xdr:colOff>3129643</xdr:colOff>
      <xdr:row>13</xdr:row>
      <xdr:rowOff>1</xdr:rowOff>
    </xdr:from>
    <xdr:to>
      <xdr:col>0</xdr:col>
      <xdr:colOff>3312523</xdr:colOff>
      <xdr:row>13</xdr:row>
      <xdr:rowOff>182881</xdr:rowOff>
    </xdr:to>
    <xdr:pic>
      <xdr:nvPicPr>
        <xdr:cNvPr id="34" name="Picture 33">
          <a:hlinkClick xmlns:r="http://schemas.openxmlformats.org/officeDocument/2006/relationships" r:id="rId9"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2540001"/>
          <a:ext cx="182880" cy="182880"/>
        </a:xfrm>
        <a:prstGeom prst="rect">
          <a:avLst/>
        </a:prstGeom>
      </xdr:spPr>
    </xdr:pic>
    <xdr:clientData fPrintsWithSheet="0"/>
  </xdr:twoCellAnchor>
  <xdr:twoCellAnchor editAs="oneCell">
    <xdr:from>
      <xdr:col>0</xdr:col>
      <xdr:colOff>3129643</xdr:colOff>
      <xdr:row>20</xdr:row>
      <xdr:rowOff>1</xdr:rowOff>
    </xdr:from>
    <xdr:to>
      <xdr:col>0</xdr:col>
      <xdr:colOff>3312523</xdr:colOff>
      <xdr:row>20</xdr:row>
      <xdr:rowOff>182881</xdr:rowOff>
    </xdr:to>
    <xdr:pic>
      <xdr:nvPicPr>
        <xdr:cNvPr id="35" name="Picture 34">
          <a:hlinkClick xmlns:r="http://schemas.openxmlformats.org/officeDocument/2006/relationships" r:id="rId10"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3873501"/>
          <a:ext cx="182880" cy="182880"/>
        </a:xfrm>
        <a:prstGeom prst="rect">
          <a:avLst/>
        </a:prstGeom>
      </xdr:spPr>
    </xdr:pic>
    <xdr:clientData fPrintsWithSheet="0"/>
  </xdr:twoCellAnchor>
  <xdr:twoCellAnchor editAs="oneCell">
    <xdr:from>
      <xdr:col>0</xdr:col>
      <xdr:colOff>3129643</xdr:colOff>
      <xdr:row>27</xdr:row>
      <xdr:rowOff>1</xdr:rowOff>
    </xdr:from>
    <xdr:to>
      <xdr:col>0</xdr:col>
      <xdr:colOff>3312523</xdr:colOff>
      <xdr:row>27</xdr:row>
      <xdr:rowOff>182881</xdr:rowOff>
    </xdr:to>
    <xdr:pic>
      <xdr:nvPicPr>
        <xdr:cNvPr id="36" name="Picture 35">
          <a:hlinkClick xmlns:r="http://schemas.openxmlformats.org/officeDocument/2006/relationships" r:id="rId1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5207001"/>
          <a:ext cx="182880" cy="182880"/>
        </a:xfrm>
        <a:prstGeom prst="rect">
          <a:avLst/>
        </a:prstGeom>
      </xdr:spPr>
    </xdr:pic>
    <xdr:clientData fPrintsWithSheet="0"/>
  </xdr:twoCellAnchor>
  <xdr:twoCellAnchor editAs="oneCell">
    <xdr:from>
      <xdr:col>0</xdr:col>
      <xdr:colOff>3129643</xdr:colOff>
      <xdr:row>34</xdr:row>
      <xdr:rowOff>1</xdr:rowOff>
    </xdr:from>
    <xdr:to>
      <xdr:col>0</xdr:col>
      <xdr:colOff>3312523</xdr:colOff>
      <xdr:row>34</xdr:row>
      <xdr:rowOff>182881</xdr:rowOff>
    </xdr:to>
    <xdr:pic>
      <xdr:nvPicPr>
        <xdr:cNvPr id="37" name="Picture 36">
          <a:hlinkClick xmlns:r="http://schemas.openxmlformats.org/officeDocument/2006/relationships" r:id="rId12"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6540501"/>
          <a:ext cx="182880" cy="182880"/>
        </a:xfrm>
        <a:prstGeom prst="rect">
          <a:avLst/>
        </a:prstGeom>
      </xdr:spPr>
    </xdr:pic>
    <xdr:clientData fPrintsWithSheet="0"/>
  </xdr:twoCellAnchor>
  <xdr:twoCellAnchor editAs="oneCell">
    <xdr:from>
      <xdr:col>0</xdr:col>
      <xdr:colOff>3129643</xdr:colOff>
      <xdr:row>41</xdr:row>
      <xdr:rowOff>1</xdr:rowOff>
    </xdr:from>
    <xdr:to>
      <xdr:col>0</xdr:col>
      <xdr:colOff>3312523</xdr:colOff>
      <xdr:row>41</xdr:row>
      <xdr:rowOff>182881</xdr:rowOff>
    </xdr:to>
    <xdr:pic>
      <xdr:nvPicPr>
        <xdr:cNvPr id="38" name="Picture 37">
          <a:hlinkClick xmlns:r="http://schemas.openxmlformats.org/officeDocument/2006/relationships" r:id="rId13"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7874001"/>
          <a:ext cx="182880" cy="182880"/>
        </a:xfrm>
        <a:prstGeom prst="rect">
          <a:avLst/>
        </a:prstGeom>
      </xdr:spPr>
    </xdr:pic>
    <xdr:clientData fPrintsWithSheet="0"/>
  </xdr:twoCellAnchor>
  <xdr:twoCellAnchor editAs="oneCell">
    <xdr:from>
      <xdr:col>3</xdr:col>
      <xdr:colOff>3122841</xdr:colOff>
      <xdr:row>13</xdr:row>
      <xdr:rowOff>0</xdr:rowOff>
    </xdr:from>
    <xdr:to>
      <xdr:col>3</xdr:col>
      <xdr:colOff>3304425</xdr:colOff>
      <xdr:row>13</xdr:row>
      <xdr:rowOff>181584</xdr:rowOff>
    </xdr:to>
    <xdr:pic>
      <xdr:nvPicPr>
        <xdr:cNvPr id="39" name="Picture 38">
          <a:hlinkClick xmlns:r="http://schemas.openxmlformats.org/officeDocument/2006/relationships" r:id="rId14"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2543175"/>
          <a:ext cx="181584" cy="181584"/>
        </a:xfrm>
        <a:prstGeom prst="rect">
          <a:avLst/>
        </a:prstGeom>
      </xdr:spPr>
    </xdr:pic>
    <xdr:clientData fPrintsWithSheet="0"/>
  </xdr:twoCellAnchor>
  <xdr:twoCellAnchor editAs="oneCell">
    <xdr:from>
      <xdr:col>3</xdr:col>
      <xdr:colOff>3122841</xdr:colOff>
      <xdr:row>20</xdr:row>
      <xdr:rowOff>0</xdr:rowOff>
    </xdr:from>
    <xdr:to>
      <xdr:col>3</xdr:col>
      <xdr:colOff>3304425</xdr:colOff>
      <xdr:row>20</xdr:row>
      <xdr:rowOff>181584</xdr:rowOff>
    </xdr:to>
    <xdr:pic>
      <xdr:nvPicPr>
        <xdr:cNvPr id="40" name="Picture 39">
          <a:hlinkClick xmlns:r="http://schemas.openxmlformats.org/officeDocument/2006/relationships" r:id="rId15"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3876675"/>
          <a:ext cx="181584" cy="181584"/>
        </a:xfrm>
        <a:prstGeom prst="rect">
          <a:avLst/>
        </a:prstGeom>
      </xdr:spPr>
    </xdr:pic>
    <xdr:clientData fPrintsWithSheet="0"/>
  </xdr:twoCellAnchor>
  <xdr:twoCellAnchor editAs="oneCell">
    <xdr:from>
      <xdr:col>3</xdr:col>
      <xdr:colOff>3122841</xdr:colOff>
      <xdr:row>27</xdr:row>
      <xdr:rowOff>0</xdr:rowOff>
    </xdr:from>
    <xdr:to>
      <xdr:col>3</xdr:col>
      <xdr:colOff>3304425</xdr:colOff>
      <xdr:row>27</xdr:row>
      <xdr:rowOff>181584</xdr:rowOff>
    </xdr:to>
    <xdr:pic>
      <xdr:nvPicPr>
        <xdr:cNvPr id="41" name="Picture 40">
          <a:hlinkClick xmlns:r="http://schemas.openxmlformats.org/officeDocument/2006/relationships" r:id="rId16"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5210175"/>
          <a:ext cx="181584" cy="181584"/>
        </a:xfrm>
        <a:prstGeom prst="rect">
          <a:avLst/>
        </a:prstGeom>
      </xdr:spPr>
    </xdr:pic>
    <xdr:clientData fPrintsWithSheet="0"/>
  </xdr:twoCellAnchor>
  <xdr:twoCellAnchor editAs="oneCell">
    <xdr:from>
      <xdr:col>3</xdr:col>
      <xdr:colOff>3122841</xdr:colOff>
      <xdr:row>34</xdr:row>
      <xdr:rowOff>0</xdr:rowOff>
    </xdr:from>
    <xdr:to>
      <xdr:col>3</xdr:col>
      <xdr:colOff>3304425</xdr:colOff>
      <xdr:row>34</xdr:row>
      <xdr:rowOff>181584</xdr:rowOff>
    </xdr:to>
    <xdr:pic>
      <xdr:nvPicPr>
        <xdr:cNvPr id="42" name="Picture 41">
          <a:hlinkClick xmlns:r="http://schemas.openxmlformats.org/officeDocument/2006/relationships" r:id="rId17"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6543675"/>
          <a:ext cx="181584" cy="181584"/>
        </a:xfrm>
        <a:prstGeom prst="rect">
          <a:avLst/>
        </a:prstGeom>
      </xdr:spPr>
    </xdr:pic>
    <xdr:clientData fPrintsWithSheet="0"/>
  </xdr:twoCellAnchor>
  <xdr:twoCellAnchor editAs="oneCell">
    <xdr:from>
      <xdr:col>3</xdr:col>
      <xdr:colOff>3122841</xdr:colOff>
      <xdr:row>41</xdr:row>
      <xdr:rowOff>0</xdr:rowOff>
    </xdr:from>
    <xdr:to>
      <xdr:col>3</xdr:col>
      <xdr:colOff>3304425</xdr:colOff>
      <xdr:row>41</xdr:row>
      <xdr:rowOff>181584</xdr:rowOff>
    </xdr:to>
    <xdr:pic>
      <xdr:nvPicPr>
        <xdr:cNvPr id="43" name="Picture 42">
          <a:hlinkClick xmlns:r="http://schemas.openxmlformats.org/officeDocument/2006/relationships" r:id="rId18"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7877175"/>
          <a:ext cx="181584" cy="181584"/>
        </a:xfrm>
        <a:prstGeom prst="rect">
          <a:avLst/>
        </a:prstGeom>
      </xdr:spPr>
    </xdr:pic>
    <xdr:clientData fPrintsWithSheet="0"/>
  </xdr:twoCellAnchor>
  <xdr:twoCellAnchor editAs="oneCell">
    <xdr:from>
      <xdr:col>3</xdr:col>
      <xdr:colOff>3122841</xdr:colOff>
      <xdr:row>48</xdr:row>
      <xdr:rowOff>0</xdr:rowOff>
    </xdr:from>
    <xdr:to>
      <xdr:col>3</xdr:col>
      <xdr:colOff>3304425</xdr:colOff>
      <xdr:row>48</xdr:row>
      <xdr:rowOff>181584</xdr:rowOff>
    </xdr:to>
    <xdr:pic>
      <xdr:nvPicPr>
        <xdr:cNvPr id="44" name="Picture 43">
          <a:hlinkClick xmlns:r="http://schemas.openxmlformats.org/officeDocument/2006/relationships" r:id="rId19"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9616" y="9210675"/>
          <a:ext cx="181584" cy="181584"/>
        </a:xfrm>
        <a:prstGeom prst="rect">
          <a:avLst/>
        </a:prstGeom>
      </xdr:spPr>
    </xdr:pic>
    <xdr:clientData fPrintsWithSheet="0"/>
  </xdr:twoCellAnchor>
  <xdr:twoCellAnchor editAs="oneCell">
    <xdr:from>
      <xdr:col>6</xdr:col>
      <xdr:colOff>3129189</xdr:colOff>
      <xdr:row>13</xdr:row>
      <xdr:rowOff>0</xdr:rowOff>
    </xdr:from>
    <xdr:to>
      <xdr:col>6</xdr:col>
      <xdr:colOff>3312069</xdr:colOff>
      <xdr:row>13</xdr:row>
      <xdr:rowOff>181584</xdr:rowOff>
    </xdr:to>
    <xdr:pic>
      <xdr:nvPicPr>
        <xdr:cNvPr id="45" name="Picture 44">
          <a:hlinkClick xmlns:r="http://schemas.openxmlformats.org/officeDocument/2006/relationships" r:id="rId20"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2540000"/>
          <a:ext cx="182880" cy="181584"/>
        </a:xfrm>
        <a:prstGeom prst="rect">
          <a:avLst/>
        </a:prstGeom>
      </xdr:spPr>
    </xdr:pic>
    <xdr:clientData fPrintsWithSheet="0"/>
  </xdr:twoCellAnchor>
  <xdr:twoCellAnchor editAs="oneCell">
    <xdr:from>
      <xdr:col>6</xdr:col>
      <xdr:colOff>3129189</xdr:colOff>
      <xdr:row>20</xdr:row>
      <xdr:rowOff>0</xdr:rowOff>
    </xdr:from>
    <xdr:to>
      <xdr:col>6</xdr:col>
      <xdr:colOff>3312069</xdr:colOff>
      <xdr:row>20</xdr:row>
      <xdr:rowOff>181584</xdr:rowOff>
    </xdr:to>
    <xdr:pic>
      <xdr:nvPicPr>
        <xdr:cNvPr id="46" name="Picture 45">
          <a:hlinkClick xmlns:r="http://schemas.openxmlformats.org/officeDocument/2006/relationships" r:id="rId21"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3873500"/>
          <a:ext cx="182880" cy="181584"/>
        </a:xfrm>
        <a:prstGeom prst="rect">
          <a:avLst/>
        </a:prstGeom>
      </xdr:spPr>
    </xdr:pic>
    <xdr:clientData fPrintsWithSheet="0"/>
  </xdr:twoCellAnchor>
  <xdr:twoCellAnchor editAs="oneCell">
    <xdr:from>
      <xdr:col>6</xdr:col>
      <xdr:colOff>3129189</xdr:colOff>
      <xdr:row>27</xdr:row>
      <xdr:rowOff>0</xdr:rowOff>
    </xdr:from>
    <xdr:to>
      <xdr:col>6</xdr:col>
      <xdr:colOff>3312069</xdr:colOff>
      <xdr:row>27</xdr:row>
      <xdr:rowOff>181584</xdr:rowOff>
    </xdr:to>
    <xdr:pic>
      <xdr:nvPicPr>
        <xdr:cNvPr id="47" name="Picture 46">
          <a:hlinkClick xmlns:r="http://schemas.openxmlformats.org/officeDocument/2006/relationships" r:id="rId22"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5207000"/>
          <a:ext cx="182880" cy="181584"/>
        </a:xfrm>
        <a:prstGeom prst="rect">
          <a:avLst/>
        </a:prstGeom>
      </xdr:spPr>
    </xdr:pic>
    <xdr:clientData fPrintsWithSheet="0"/>
  </xdr:twoCellAnchor>
  <xdr:twoCellAnchor editAs="oneCell">
    <xdr:from>
      <xdr:col>6</xdr:col>
      <xdr:colOff>3129189</xdr:colOff>
      <xdr:row>34</xdr:row>
      <xdr:rowOff>0</xdr:rowOff>
    </xdr:from>
    <xdr:to>
      <xdr:col>6</xdr:col>
      <xdr:colOff>3312069</xdr:colOff>
      <xdr:row>34</xdr:row>
      <xdr:rowOff>181584</xdr:rowOff>
    </xdr:to>
    <xdr:pic>
      <xdr:nvPicPr>
        <xdr:cNvPr id="48" name="Picture 47">
          <a:hlinkClick xmlns:r="http://schemas.openxmlformats.org/officeDocument/2006/relationships" r:id="rId23"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6540500"/>
          <a:ext cx="182880" cy="181584"/>
        </a:xfrm>
        <a:prstGeom prst="rect">
          <a:avLst/>
        </a:prstGeom>
      </xdr:spPr>
    </xdr:pic>
    <xdr:clientData fPrintsWithSheet="0"/>
  </xdr:twoCellAnchor>
  <xdr:twoCellAnchor editAs="oneCell">
    <xdr:from>
      <xdr:col>6</xdr:col>
      <xdr:colOff>3129189</xdr:colOff>
      <xdr:row>41</xdr:row>
      <xdr:rowOff>0</xdr:rowOff>
    </xdr:from>
    <xdr:to>
      <xdr:col>6</xdr:col>
      <xdr:colOff>3312069</xdr:colOff>
      <xdr:row>41</xdr:row>
      <xdr:rowOff>181584</xdr:rowOff>
    </xdr:to>
    <xdr:pic>
      <xdr:nvPicPr>
        <xdr:cNvPr id="49" name="Picture 48">
          <a:hlinkClick xmlns:r="http://schemas.openxmlformats.org/officeDocument/2006/relationships" r:id="rId24"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7874000"/>
          <a:ext cx="182880" cy="181584"/>
        </a:xfrm>
        <a:prstGeom prst="rect">
          <a:avLst/>
        </a:prstGeom>
      </xdr:spPr>
    </xdr:pic>
    <xdr:clientData fPrintsWithSheet="0"/>
  </xdr:twoCellAnchor>
  <xdr:twoCellAnchor editAs="oneCell">
    <xdr:from>
      <xdr:col>6</xdr:col>
      <xdr:colOff>3129189</xdr:colOff>
      <xdr:row>48</xdr:row>
      <xdr:rowOff>0</xdr:rowOff>
    </xdr:from>
    <xdr:to>
      <xdr:col>6</xdr:col>
      <xdr:colOff>3312069</xdr:colOff>
      <xdr:row>48</xdr:row>
      <xdr:rowOff>181584</xdr:rowOff>
    </xdr:to>
    <xdr:pic>
      <xdr:nvPicPr>
        <xdr:cNvPr id="50" name="Picture 49">
          <a:hlinkClick xmlns:r="http://schemas.openxmlformats.org/officeDocument/2006/relationships" r:id="rId25"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9207500"/>
          <a:ext cx="182880" cy="181584"/>
        </a:xfrm>
        <a:prstGeom prst="rect">
          <a:avLst/>
        </a:prstGeom>
      </xdr:spPr>
    </xdr:pic>
    <xdr:clientData fPrintsWithSheet="0"/>
  </xdr:twoCellAnchor>
  <xdr:twoCellAnchor editAs="oneCell">
    <xdr:from>
      <xdr:col>6</xdr:col>
      <xdr:colOff>3129189</xdr:colOff>
      <xdr:row>55</xdr:row>
      <xdr:rowOff>0</xdr:rowOff>
    </xdr:from>
    <xdr:to>
      <xdr:col>6</xdr:col>
      <xdr:colOff>3312069</xdr:colOff>
      <xdr:row>55</xdr:row>
      <xdr:rowOff>181584</xdr:rowOff>
    </xdr:to>
    <xdr:pic>
      <xdr:nvPicPr>
        <xdr:cNvPr id="51" name="Picture 50">
          <a:hlinkClick xmlns:r="http://schemas.openxmlformats.org/officeDocument/2006/relationships" r:id="rId26"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0541000"/>
          <a:ext cx="182880" cy="181584"/>
        </a:xfrm>
        <a:prstGeom prst="rect">
          <a:avLst/>
        </a:prstGeom>
      </xdr:spPr>
    </xdr:pic>
    <xdr:clientData fPrintsWithSheet="0"/>
  </xdr:twoCellAnchor>
  <xdr:twoCellAnchor editAs="oneCell">
    <xdr:from>
      <xdr:col>6</xdr:col>
      <xdr:colOff>3129189</xdr:colOff>
      <xdr:row>62</xdr:row>
      <xdr:rowOff>0</xdr:rowOff>
    </xdr:from>
    <xdr:to>
      <xdr:col>6</xdr:col>
      <xdr:colOff>3312069</xdr:colOff>
      <xdr:row>62</xdr:row>
      <xdr:rowOff>181584</xdr:rowOff>
    </xdr:to>
    <xdr:pic>
      <xdr:nvPicPr>
        <xdr:cNvPr id="52" name="Picture 51">
          <a:hlinkClick xmlns:r="http://schemas.openxmlformats.org/officeDocument/2006/relationships" r:id="rId27" tooltip="Go to completed balance shee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21456" y="11874500"/>
          <a:ext cx="182880" cy="181584"/>
        </a:xfrm>
        <a:prstGeom prst="rect">
          <a:avLst/>
        </a:prstGeom>
      </xdr:spPr>
    </xdr:pic>
    <xdr:clientData fPrintsWithSheet="0"/>
  </xdr:twoCellAnchor>
  <xdr:twoCellAnchor>
    <xdr:from>
      <xdr:col>0</xdr:col>
      <xdr:colOff>2586566</xdr:colOff>
      <xdr:row>1</xdr:row>
      <xdr:rowOff>33867</xdr:rowOff>
    </xdr:from>
    <xdr:to>
      <xdr:col>1</xdr:col>
      <xdr:colOff>1172246</xdr:colOff>
      <xdr:row>3</xdr:row>
      <xdr:rowOff>27771</xdr:rowOff>
    </xdr:to>
    <xdr:sp macro="[0]!PrintBS_Final" textlink="">
      <xdr:nvSpPr>
        <xdr:cNvPr id="30" name="Rectangle 29">
          <a:hlinkClick xmlns:r="http://schemas.openxmlformats.org/officeDocument/2006/relationships" r:id="rId28" tooltip="Go to Balance Sheet Data Entry"/>
        </xdr:cNvPr>
        <xdr:cNvSpPr/>
      </xdr:nvSpPr>
      <xdr:spPr>
        <a:xfrm>
          <a:off x="2586566" y="287867"/>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3129643</xdr:colOff>
      <xdr:row>5</xdr:row>
      <xdr:rowOff>188427</xdr:rowOff>
    </xdr:from>
    <xdr:to>
      <xdr:col>0</xdr:col>
      <xdr:colOff>3312523</xdr:colOff>
      <xdr:row>6</xdr:row>
      <xdr:rowOff>180807</xdr:rowOff>
    </xdr:to>
    <xdr:pic>
      <xdr:nvPicPr>
        <xdr:cNvPr id="30" name="Picture 29">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twoCellAnchor>
  <xdr:twoCellAnchor editAs="oneCell">
    <xdr:from>
      <xdr:col>0</xdr:col>
      <xdr:colOff>2372260</xdr:colOff>
      <xdr:row>1</xdr:row>
      <xdr:rowOff>47245</xdr:rowOff>
    </xdr:from>
    <xdr:to>
      <xdr:col>1</xdr:col>
      <xdr:colOff>493041</xdr:colOff>
      <xdr:row>3</xdr:row>
      <xdr:rowOff>41149</xdr:rowOff>
    </xdr:to>
    <xdr:sp macro="[0]!PrintBS_Final" textlink="">
      <xdr:nvSpPr>
        <xdr:cNvPr id="33" name="Rectangle 32">
          <a:hlinkClick xmlns:r="http://schemas.openxmlformats.org/officeDocument/2006/relationships" r:id="rId3" tooltip="Go to General Info"/>
        </xdr:cNvPr>
        <xdr:cNvSpPr/>
      </xdr:nvSpPr>
      <xdr:spPr>
        <a:xfrm>
          <a:off x="2372260" y="304420"/>
          <a:ext cx="1673606" cy="374904"/>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28574</xdr:colOff>
      <xdr:row>1</xdr:row>
      <xdr:rowOff>38100</xdr:rowOff>
    </xdr:from>
    <xdr:to>
      <xdr:col>0</xdr:col>
      <xdr:colOff>2314574</xdr:colOff>
      <xdr:row>3</xdr:row>
      <xdr:rowOff>32004</xdr:rowOff>
    </xdr:to>
    <xdr:sp macro="[0]!PrintBS_Final" textlink="">
      <xdr:nvSpPr>
        <xdr:cNvPr id="34" name="Rectangle 33">
          <a:hlinkClick xmlns:r="http://schemas.openxmlformats.org/officeDocument/2006/relationships" r:id="rId4" tooltip="Go to Balance Sheet Simple Data Entry"/>
        </xdr:cNvPr>
        <xdr:cNvSpPr/>
      </xdr:nvSpPr>
      <xdr:spPr>
        <a:xfrm>
          <a:off x="28574" y="295275"/>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a:t>
          </a:r>
          <a:r>
            <a:rPr lang="en-US" sz="1400" b="1" baseline="0"/>
            <a:t> Sheet</a:t>
          </a:r>
          <a:endParaRPr lang="en-US" sz="1400" b="1"/>
        </a:p>
      </xdr:txBody>
    </xdr:sp>
    <xdr:clientData fPrintsWithSheet="0"/>
  </xdr:twoCellAnchor>
  <xdr:twoCellAnchor>
    <xdr:from>
      <xdr:col>0</xdr:col>
      <xdr:colOff>2207683</xdr:colOff>
      <xdr:row>3</xdr:row>
      <xdr:rowOff>114300</xdr:rowOff>
    </xdr:from>
    <xdr:to>
      <xdr:col>2</xdr:col>
      <xdr:colOff>181779</xdr:colOff>
      <xdr:row>5</xdr:row>
      <xdr:rowOff>108204</xdr:rowOff>
    </xdr:to>
    <xdr:sp macro="[0]!PrintBS_Final" textlink="">
      <xdr:nvSpPr>
        <xdr:cNvPr id="35" name="Rectangle 34">
          <a:hlinkClick xmlns:r="http://schemas.openxmlformats.org/officeDocument/2006/relationships" r:id="rId5" tooltip="Go to Balance Sheet Data Entry"/>
        </xdr:cNvPr>
        <xdr:cNvSpPr/>
      </xdr:nvSpPr>
      <xdr:spPr>
        <a:xfrm>
          <a:off x="2207683" y="749300"/>
          <a:ext cx="2139696"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Entry</a:t>
          </a:r>
        </a:p>
      </xdr:txBody>
    </xdr:sp>
    <xdr:clientData fPrintsWithSheet="0"/>
  </xdr:twoCellAnchor>
  <xdr:twoCellAnchor>
    <xdr:from>
      <xdr:col>2</xdr:col>
      <xdr:colOff>235745</xdr:colOff>
      <xdr:row>3</xdr:row>
      <xdr:rowOff>118533</xdr:rowOff>
    </xdr:from>
    <xdr:to>
      <xdr:col>4</xdr:col>
      <xdr:colOff>679859</xdr:colOff>
      <xdr:row>5</xdr:row>
      <xdr:rowOff>112437</xdr:rowOff>
    </xdr:to>
    <xdr:sp macro="[0]!PrintBS_Final" textlink="">
      <xdr:nvSpPr>
        <xdr:cNvPr id="36" name="Rectangle 35">
          <a:hlinkClick xmlns:r="http://schemas.openxmlformats.org/officeDocument/2006/relationships" r:id="rId6" tooltip="Go to Balance Sheet Data Entry"/>
        </xdr:cNvPr>
        <xdr:cNvSpPr/>
      </xdr:nvSpPr>
      <xdr:spPr>
        <a:xfrm>
          <a:off x="4401345" y="753533"/>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a:t>
          </a:r>
          <a:r>
            <a:rPr lang="en-US" sz="1400" b="1" baseline="0"/>
            <a:t>Entry</a:t>
          </a:r>
          <a:endParaRPr lang="en-US" sz="1400" b="1"/>
        </a:p>
      </xdr:txBody>
    </xdr:sp>
    <xdr:clientData fPrintsWithSheet="0"/>
  </xdr:twoCellAnchor>
  <xdr:oneCellAnchor>
    <xdr:from>
      <xdr:col>0</xdr:col>
      <xdr:colOff>3129643</xdr:colOff>
      <xdr:row>16</xdr:row>
      <xdr:rowOff>188427</xdr:rowOff>
    </xdr:from>
    <xdr:ext cx="182880" cy="182880"/>
    <xdr:pic>
      <xdr:nvPicPr>
        <xdr:cNvPr id="37" name="Picture 36">
          <a:hlinkClick xmlns:r="http://schemas.openxmlformats.org/officeDocument/2006/relationships" r:id="rId7"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1204427"/>
          <a:ext cx="182880" cy="182880"/>
        </a:xfrm>
        <a:prstGeom prst="rect">
          <a:avLst/>
        </a:prstGeom>
      </xdr:spPr>
    </xdr:pic>
    <xdr:clientData fPrintsWithSheet="0"/>
  </xdr:oneCellAnchor>
  <xdr:oneCellAnchor>
    <xdr:from>
      <xdr:col>0</xdr:col>
      <xdr:colOff>3129643</xdr:colOff>
      <xdr:row>27</xdr:row>
      <xdr:rowOff>188427</xdr:rowOff>
    </xdr:from>
    <xdr:ext cx="182880" cy="182880"/>
    <xdr:pic>
      <xdr:nvPicPr>
        <xdr:cNvPr id="38" name="Picture 37">
          <a:hlinkClick xmlns:r="http://schemas.openxmlformats.org/officeDocument/2006/relationships" r:id="rId8"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3" y="3240661"/>
          <a:ext cx="182880" cy="182880"/>
        </a:xfrm>
        <a:prstGeom prst="rect">
          <a:avLst/>
        </a:prstGeom>
      </xdr:spPr>
    </xdr:pic>
    <xdr:clientData fPrintsWithSheet="0"/>
  </xdr:oneCellAnchor>
  <xdr:twoCellAnchor>
    <xdr:from>
      <xdr:col>0</xdr:col>
      <xdr:colOff>0</xdr:colOff>
      <xdr:row>3</xdr:row>
      <xdr:rowOff>110745</xdr:rowOff>
    </xdr:from>
    <xdr:to>
      <xdr:col>0</xdr:col>
      <xdr:colOff>2162847</xdr:colOff>
      <xdr:row>5</xdr:row>
      <xdr:rowOff>104649</xdr:rowOff>
    </xdr:to>
    <xdr:sp macro="[0]!PrintBS_Final" textlink="">
      <xdr:nvSpPr>
        <xdr:cNvPr id="39" name="Rectangle 38">
          <a:hlinkClick xmlns:r="http://schemas.openxmlformats.org/officeDocument/2006/relationships" r:id="rId9" tooltip="Go to Balance Sheet Data Entry"/>
        </xdr:cNvPr>
        <xdr:cNvSpPr/>
      </xdr:nvSpPr>
      <xdr:spPr>
        <a:xfrm>
          <a:off x="0" y="745745"/>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3124200</xdr:colOff>
      <xdr:row>6</xdr:row>
      <xdr:rowOff>648</xdr:rowOff>
    </xdr:from>
    <xdr:to>
      <xdr:col>0</xdr:col>
      <xdr:colOff>3305784</xdr:colOff>
      <xdr:row>6</xdr:row>
      <xdr:rowOff>182232</xdr:rowOff>
    </xdr:to>
    <xdr:pic>
      <xdr:nvPicPr>
        <xdr:cNvPr id="2" name="Picture 1">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1162698"/>
          <a:ext cx="181584" cy="181584"/>
        </a:xfrm>
        <a:prstGeom prst="rect">
          <a:avLst/>
        </a:prstGeom>
      </xdr:spPr>
    </xdr:pic>
    <xdr:clientData fPrintsWithSheet="0"/>
  </xdr:twoCellAnchor>
  <xdr:twoCellAnchor editAs="oneCell">
    <xdr:from>
      <xdr:col>3</xdr:col>
      <xdr:colOff>3124200</xdr:colOff>
      <xdr:row>6</xdr:row>
      <xdr:rowOff>648</xdr:rowOff>
    </xdr:from>
    <xdr:to>
      <xdr:col>3</xdr:col>
      <xdr:colOff>3305784</xdr:colOff>
      <xdr:row>6</xdr:row>
      <xdr:rowOff>182232</xdr:rowOff>
    </xdr:to>
    <xdr:pic>
      <xdr:nvPicPr>
        <xdr:cNvPr id="7" name="Picture 6">
          <a:hlinkClick xmlns:r="http://schemas.openxmlformats.org/officeDocument/2006/relationships" r:id="rId3"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1162698"/>
          <a:ext cx="181584" cy="181584"/>
        </a:xfrm>
        <a:prstGeom prst="rect">
          <a:avLst/>
        </a:prstGeom>
      </xdr:spPr>
    </xdr:pic>
    <xdr:clientData fPrintsWithSheet="0"/>
  </xdr:twoCellAnchor>
  <xdr:twoCellAnchor editAs="oneCell">
    <xdr:from>
      <xdr:col>3</xdr:col>
      <xdr:colOff>2838450</xdr:colOff>
      <xdr:row>0</xdr:row>
      <xdr:rowOff>66675</xdr:rowOff>
    </xdr:from>
    <xdr:to>
      <xdr:col>5</xdr:col>
      <xdr:colOff>381</xdr:colOff>
      <xdr:row>1</xdr:row>
      <xdr:rowOff>89535</xdr:rowOff>
    </xdr:to>
    <xdr:sp macro="[0]!PrintBS_Final" textlink="">
      <xdr:nvSpPr>
        <xdr:cNvPr id="11" name="Rectangle 10">
          <a:hlinkClick xmlns:r="http://schemas.openxmlformats.org/officeDocument/2006/relationships" r:id="rId4" tooltip="Go to General Info"/>
        </xdr:cNvPr>
        <xdr:cNvSpPr/>
      </xdr:nvSpPr>
      <xdr:spPr>
        <a:xfrm>
          <a:off x="7858125" y="66675"/>
          <a:ext cx="1591056" cy="36576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0</xdr:col>
      <xdr:colOff>47624</xdr:colOff>
      <xdr:row>0</xdr:row>
      <xdr:rowOff>52387</xdr:rowOff>
    </xdr:from>
    <xdr:to>
      <xdr:col>0</xdr:col>
      <xdr:colOff>2333624</xdr:colOff>
      <xdr:row>1</xdr:row>
      <xdr:rowOff>80962</xdr:rowOff>
    </xdr:to>
    <xdr:sp macro="[0]!PrintBS_Final" textlink="">
      <xdr:nvSpPr>
        <xdr:cNvPr id="12" name="Rectangle 11">
          <a:hlinkClick xmlns:r="http://schemas.openxmlformats.org/officeDocument/2006/relationships" r:id="rId5" tooltip="Go to Balance Sheet Simple Data Entry"/>
        </xdr:cNvPr>
        <xdr:cNvSpPr/>
      </xdr:nvSpPr>
      <xdr:spPr>
        <a:xfrm>
          <a:off x="47624" y="52387"/>
          <a:ext cx="2286000" cy="371475"/>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a:t>
          </a:r>
          <a:r>
            <a:rPr lang="en-US" sz="1400" b="1"/>
            <a:t>Final Balance Sheet</a:t>
          </a:r>
        </a:p>
      </xdr:txBody>
    </xdr:sp>
    <xdr:clientData fPrintsWithSheet="0"/>
  </xdr:twoCellAnchor>
  <xdr:twoCellAnchor>
    <xdr:from>
      <xdr:col>0</xdr:col>
      <xdr:colOff>47624</xdr:colOff>
      <xdr:row>1</xdr:row>
      <xdr:rowOff>119062</xdr:rowOff>
    </xdr:from>
    <xdr:to>
      <xdr:col>0</xdr:col>
      <xdr:colOff>2186129</xdr:colOff>
      <xdr:row>3</xdr:row>
      <xdr:rowOff>112966</xdr:rowOff>
    </xdr:to>
    <xdr:sp macro="[0]!PrintBS_Final" textlink="">
      <xdr:nvSpPr>
        <xdr:cNvPr id="13" name="Rectangle 12">
          <a:hlinkClick xmlns:r="http://schemas.openxmlformats.org/officeDocument/2006/relationships" r:id="rId6" tooltip="Go to Balance Sheet Data Entry"/>
        </xdr:cNvPr>
        <xdr:cNvSpPr/>
      </xdr:nvSpPr>
      <xdr:spPr>
        <a:xfrm>
          <a:off x="47624" y="461962"/>
          <a:ext cx="2138505"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twoCellAnchor>
    <xdr:from>
      <xdr:col>1</xdr:col>
      <xdr:colOff>896546</xdr:colOff>
      <xdr:row>1</xdr:row>
      <xdr:rowOff>119062</xdr:rowOff>
    </xdr:from>
    <xdr:to>
      <xdr:col>3</xdr:col>
      <xdr:colOff>1212538</xdr:colOff>
      <xdr:row>3</xdr:row>
      <xdr:rowOff>112966</xdr:rowOff>
    </xdr:to>
    <xdr:sp macro="[0]!PrintBS_Final" textlink="">
      <xdr:nvSpPr>
        <xdr:cNvPr id="14" name="Rectangle 13">
          <a:hlinkClick xmlns:r="http://schemas.openxmlformats.org/officeDocument/2006/relationships" r:id="rId7" tooltip="Go to Balance Sheet Data Entry"/>
        </xdr:cNvPr>
        <xdr:cNvSpPr/>
      </xdr:nvSpPr>
      <xdr:spPr>
        <a:xfrm>
          <a:off x="4449371" y="461962"/>
          <a:ext cx="2144792"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 Entry</a:t>
          </a:r>
        </a:p>
      </xdr:txBody>
    </xdr:sp>
    <xdr:clientData fPrintsWithSheet="0"/>
  </xdr:twoCellAnchor>
  <xdr:twoCellAnchor editAs="oneCell">
    <xdr:from>
      <xdr:col>0</xdr:col>
      <xdr:colOff>3124200</xdr:colOff>
      <xdr:row>13</xdr:row>
      <xdr:rowOff>0</xdr:rowOff>
    </xdr:from>
    <xdr:to>
      <xdr:col>0</xdr:col>
      <xdr:colOff>3305784</xdr:colOff>
      <xdr:row>13</xdr:row>
      <xdr:rowOff>181584</xdr:rowOff>
    </xdr:to>
    <xdr:pic>
      <xdr:nvPicPr>
        <xdr:cNvPr id="15" name="Picture 14">
          <a:hlinkClick xmlns:r="http://schemas.openxmlformats.org/officeDocument/2006/relationships" r:id="rId8"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2495550"/>
          <a:ext cx="181584" cy="181584"/>
        </a:xfrm>
        <a:prstGeom prst="rect">
          <a:avLst/>
        </a:prstGeom>
      </xdr:spPr>
    </xdr:pic>
    <xdr:clientData fPrintsWithSheet="0"/>
  </xdr:twoCellAnchor>
  <xdr:twoCellAnchor editAs="oneCell">
    <xdr:from>
      <xdr:col>0</xdr:col>
      <xdr:colOff>3124200</xdr:colOff>
      <xdr:row>27</xdr:row>
      <xdr:rowOff>0</xdr:rowOff>
    </xdr:from>
    <xdr:to>
      <xdr:col>0</xdr:col>
      <xdr:colOff>3305784</xdr:colOff>
      <xdr:row>27</xdr:row>
      <xdr:rowOff>181584</xdr:rowOff>
    </xdr:to>
    <xdr:pic>
      <xdr:nvPicPr>
        <xdr:cNvPr id="16" name="Picture 15">
          <a:hlinkClick xmlns:r="http://schemas.openxmlformats.org/officeDocument/2006/relationships" r:id="rId9"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3829050"/>
          <a:ext cx="181584" cy="181584"/>
        </a:xfrm>
        <a:prstGeom prst="rect">
          <a:avLst/>
        </a:prstGeom>
      </xdr:spPr>
    </xdr:pic>
    <xdr:clientData fPrintsWithSheet="0"/>
  </xdr:twoCellAnchor>
  <xdr:twoCellAnchor editAs="oneCell">
    <xdr:from>
      <xdr:col>0</xdr:col>
      <xdr:colOff>3124200</xdr:colOff>
      <xdr:row>34</xdr:row>
      <xdr:rowOff>0</xdr:rowOff>
    </xdr:from>
    <xdr:to>
      <xdr:col>0</xdr:col>
      <xdr:colOff>3305784</xdr:colOff>
      <xdr:row>34</xdr:row>
      <xdr:rowOff>181584</xdr:rowOff>
    </xdr:to>
    <xdr:pic>
      <xdr:nvPicPr>
        <xdr:cNvPr id="17" name="Picture 16">
          <a:hlinkClick xmlns:r="http://schemas.openxmlformats.org/officeDocument/2006/relationships" r:id="rId10"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5162550"/>
          <a:ext cx="181584" cy="181584"/>
        </a:xfrm>
        <a:prstGeom prst="rect">
          <a:avLst/>
        </a:prstGeom>
      </xdr:spPr>
    </xdr:pic>
    <xdr:clientData fPrintsWithSheet="0"/>
  </xdr:twoCellAnchor>
  <xdr:twoCellAnchor editAs="oneCell">
    <xdr:from>
      <xdr:col>0</xdr:col>
      <xdr:colOff>3124200</xdr:colOff>
      <xdr:row>41</xdr:row>
      <xdr:rowOff>0</xdr:rowOff>
    </xdr:from>
    <xdr:to>
      <xdr:col>0</xdr:col>
      <xdr:colOff>3305784</xdr:colOff>
      <xdr:row>41</xdr:row>
      <xdr:rowOff>181584</xdr:rowOff>
    </xdr:to>
    <xdr:pic>
      <xdr:nvPicPr>
        <xdr:cNvPr id="18" name="Picture 17">
          <a:hlinkClick xmlns:r="http://schemas.openxmlformats.org/officeDocument/2006/relationships" r:id="rId1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6496050"/>
          <a:ext cx="181584" cy="181584"/>
        </a:xfrm>
        <a:prstGeom prst="rect">
          <a:avLst/>
        </a:prstGeom>
      </xdr:spPr>
    </xdr:pic>
    <xdr:clientData fPrintsWithSheet="0"/>
  </xdr:twoCellAnchor>
  <xdr:twoCellAnchor editAs="oneCell">
    <xdr:from>
      <xdr:col>3</xdr:col>
      <xdr:colOff>3124200</xdr:colOff>
      <xdr:row>13</xdr:row>
      <xdr:rowOff>0</xdr:rowOff>
    </xdr:from>
    <xdr:to>
      <xdr:col>3</xdr:col>
      <xdr:colOff>3305784</xdr:colOff>
      <xdr:row>13</xdr:row>
      <xdr:rowOff>181584</xdr:rowOff>
    </xdr:to>
    <xdr:pic>
      <xdr:nvPicPr>
        <xdr:cNvPr id="19" name="Picture 18">
          <a:hlinkClick xmlns:r="http://schemas.openxmlformats.org/officeDocument/2006/relationships" r:id="rId12"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2495550"/>
          <a:ext cx="181584" cy="181584"/>
        </a:xfrm>
        <a:prstGeom prst="rect">
          <a:avLst/>
        </a:prstGeom>
      </xdr:spPr>
    </xdr:pic>
    <xdr:clientData fPrintsWithSheet="0"/>
  </xdr:twoCellAnchor>
  <xdr:twoCellAnchor editAs="oneCell">
    <xdr:from>
      <xdr:col>3</xdr:col>
      <xdr:colOff>3124200</xdr:colOff>
      <xdr:row>20</xdr:row>
      <xdr:rowOff>0</xdr:rowOff>
    </xdr:from>
    <xdr:to>
      <xdr:col>3</xdr:col>
      <xdr:colOff>3305784</xdr:colOff>
      <xdr:row>20</xdr:row>
      <xdr:rowOff>181584</xdr:rowOff>
    </xdr:to>
    <xdr:pic>
      <xdr:nvPicPr>
        <xdr:cNvPr id="20" name="Picture 19">
          <a:hlinkClick xmlns:r="http://schemas.openxmlformats.org/officeDocument/2006/relationships" r:id="rId13"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3829050"/>
          <a:ext cx="181584" cy="181584"/>
        </a:xfrm>
        <a:prstGeom prst="rect">
          <a:avLst/>
        </a:prstGeom>
      </xdr:spPr>
    </xdr:pic>
    <xdr:clientData fPrintsWithSheet="0"/>
  </xdr:twoCellAnchor>
  <xdr:twoCellAnchor editAs="oneCell">
    <xdr:from>
      <xdr:col>3</xdr:col>
      <xdr:colOff>3124200</xdr:colOff>
      <xdr:row>27</xdr:row>
      <xdr:rowOff>0</xdr:rowOff>
    </xdr:from>
    <xdr:to>
      <xdr:col>3</xdr:col>
      <xdr:colOff>3305784</xdr:colOff>
      <xdr:row>27</xdr:row>
      <xdr:rowOff>181584</xdr:rowOff>
    </xdr:to>
    <xdr:pic>
      <xdr:nvPicPr>
        <xdr:cNvPr id="21" name="Picture 20">
          <a:hlinkClick xmlns:r="http://schemas.openxmlformats.org/officeDocument/2006/relationships" r:id="rId14"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43875" y="5162550"/>
          <a:ext cx="181584" cy="181584"/>
        </a:xfrm>
        <a:prstGeom prst="rect">
          <a:avLst/>
        </a:prstGeom>
      </xdr:spPr>
    </xdr:pic>
    <xdr:clientData fPrintsWithSheet="0"/>
  </xdr:twoCellAnchor>
  <xdr:oneCellAnchor>
    <xdr:from>
      <xdr:col>0</xdr:col>
      <xdr:colOff>3124200</xdr:colOff>
      <xdr:row>20</xdr:row>
      <xdr:rowOff>0</xdr:rowOff>
    </xdr:from>
    <xdr:ext cx="181584" cy="181584"/>
    <xdr:pic>
      <xdr:nvPicPr>
        <xdr:cNvPr id="23" name="Picture 22">
          <a:hlinkClick xmlns:r="http://schemas.openxmlformats.org/officeDocument/2006/relationships" r:id="rId15"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0" y="2500313"/>
          <a:ext cx="181584" cy="181584"/>
        </a:xfrm>
        <a:prstGeom prst="rect">
          <a:avLst/>
        </a:prstGeom>
      </xdr:spPr>
    </xdr:pic>
    <xdr:clientData fPrintsWithSheet="0"/>
  </xdr:oneCellAnchor>
  <xdr:twoCellAnchor>
    <xdr:from>
      <xdr:col>0</xdr:col>
      <xdr:colOff>2228850</xdr:colOff>
      <xdr:row>1</xdr:row>
      <xdr:rowOff>119062</xdr:rowOff>
    </xdr:from>
    <xdr:to>
      <xdr:col>1</xdr:col>
      <xdr:colOff>838872</xdr:colOff>
      <xdr:row>3</xdr:row>
      <xdr:rowOff>112966</xdr:rowOff>
    </xdr:to>
    <xdr:sp macro="[0]!PrintBS_Final" textlink="">
      <xdr:nvSpPr>
        <xdr:cNvPr id="22" name="Rectangle 21">
          <a:hlinkClick xmlns:r="http://schemas.openxmlformats.org/officeDocument/2006/relationships" r:id="rId16" tooltip="Go to Balance Sheet Data Entry"/>
        </xdr:cNvPr>
        <xdr:cNvSpPr/>
      </xdr:nvSpPr>
      <xdr:spPr>
        <a:xfrm>
          <a:off x="2228850" y="461962"/>
          <a:ext cx="2162847"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180975</xdr:colOff>
      <xdr:row>0</xdr:row>
      <xdr:rowOff>209551</xdr:rowOff>
    </xdr:from>
    <xdr:to>
      <xdr:col>29</xdr:col>
      <xdr:colOff>85725</xdr:colOff>
      <xdr:row>1</xdr:row>
      <xdr:rowOff>409576</xdr:rowOff>
    </xdr:to>
    <xdr:sp macro="" textlink="">
      <xdr:nvSpPr>
        <xdr:cNvPr id="4" name="TextBox 3"/>
        <xdr:cNvSpPr txBox="1"/>
      </xdr:nvSpPr>
      <xdr:spPr>
        <a:xfrm>
          <a:off x="7934325" y="209551"/>
          <a:ext cx="2133600"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latin typeface="Arial" panose="020B0604020202020204" pitchFamily="34" charset="0"/>
              <a:cs typeface="Arial" panose="020B0604020202020204" pitchFamily="34" charset="0"/>
            </a:rPr>
            <a:t>Balances</a:t>
          </a:r>
          <a:r>
            <a:rPr lang="en-US" sz="1100" b="1" i="1" baseline="0">
              <a:latin typeface="Arial" panose="020B0604020202020204" pitchFamily="34" charset="0"/>
              <a:cs typeface="Arial" panose="020B0604020202020204" pitchFamily="34" charset="0"/>
            </a:rPr>
            <a:t> as of:</a:t>
          </a:r>
          <a:endParaRPr lang="en-US" sz="1100" b="1" i="1">
            <a:latin typeface="Arial" panose="020B0604020202020204" pitchFamily="34" charset="0"/>
            <a:cs typeface="Arial" panose="020B0604020202020204" pitchFamily="34" charset="0"/>
          </a:endParaRPr>
        </a:p>
      </xdr:txBody>
    </xdr:sp>
    <xdr:clientData/>
  </xdr:twoCellAnchor>
  <xdr:twoCellAnchor editAs="oneCell">
    <xdr:from>
      <xdr:col>2</xdr:col>
      <xdr:colOff>1209675</xdr:colOff>
      <xdr:row>3</xdr:row>
      <xdr:rowOff>0</xdr:rowOff>
    </xdr:from>
    <xdr:to>
      <xdr:col>2</xdr:col>
      <xdr:colOff>1502283</xdr:colOff>
      <xdr:row>3</xdr:row>
      <xdr:rowOff>292608</xdr:rowOff>
    </xdr:to>
    <xdr:pic>
      <xdr:nvPicPr>
        <xdr:cNvPr id="2" name="Picture 1">
          <a:hlinkClick xmlns:r="http://schemas.openxmlformats.org/officeDocument/2006/relationships" r:id="rId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942975"/>
          <a:ext cx="292608" cy="292608"/>
        </a:xfrm>
        <a:prstGeom prst="rect">
          <a:avLst/>
        </a:prstGeom>
      </xdr:spPr>
    </xdr:pic>
    <xdr:clientData/>
  </xdr:twoCellAnchor>
  <xdr:twoCellAnchor editAs="oneCell">
    <xdr:from>
      <xdr:col>4</xdr:col>
      <xdr:colOff>193675</xdr:colOff>
      <xdr:row>0</xdr:row>
      <xdr:rowOff>81492</xdr:rowOff>
    </xdr:from>
    <xdr:to>
      <xdr:col>6</xdr:col>
      <xdr:colOff>31750</xdr:colOff>
      <xdr:row>1</xdr:row>
      <xdr:rowOff>142071</xdr:rowOff>
    </xdr:to>
    <xdr:sp macro="[0]!PrintBS_Final" textlink="">
      <xdr:nvSpPr>
        <xdr:cNvPr id="9" name="Rectangle 8">
          <a:hlinkClick xmlns:r="http://schemas.openxmlformats.org/officeDocument/2006/relationships" r:id="rId3" tooltip="Go to General Info"/>
        </xdr:cNvPr>
        <xdr:cNvSpPr/>
      </xdr:nvSpPr>
      <xdr:spPr>
        <a:xfrm>
          <a:off x="5409142" y="81492"/>
          <a:ext cx="1434041" cy="373846"/>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xdr:from>
      <xdr:col>1</xdr:col>
      <xdr:colOff>33337</xdr:colOff>
      <xdr:row>0</xdr:row>
      <xdr:rowOff>42863</xdr:rowOff>
    </xdr:from>
    <xdr:to>
      <xdr:col>1</xdr:col>
      <xdr:colOff>2319337</xdr:colOff>
      <xdr:row>1</xdr:row>
      <xdr:rowOff>103442</xdr:rowOff>
    </xdr:to>
    <xdr:sp macro="[0]!PrintBS_Final" textlink="">
      <xdr:nvSpPr>
        <xdr:cNvPr id="10" name="Rectangle 9">
          <a:hlinkClick xmlns:r="http://schemas.openxmlformats.org/officeDocument/2006/relationships" r:id="rId4" tooltip="Go to Balance Sheet Simple Data Entry"/>
        </xdr:cNvPr>
        <xdr:cNvSpPr/>
      </xdr:nvSpPr>
      <xdr:spPr>
        <a:xfrm>
          <a:off x="219075" y="42863"/>
          <a:ext cx="2286000"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5. Go</a:t>
          </a:r>
          <a:r>
            <a:rPr lang="en-US" sz="1400" b="1" baseline="0"/>
            <a:t> to Final </a:t>
          </a:r>
          <a:r>
            <a:rPr lang="en-US" sz="1400" b="1"/>
            <a:t>Balance Sheet</a:t>
          </a:r>
        </a:p>
      </xdr:txBody>
    </xdr:sp>
    <xdr:clientData fPrintsWithSheet="0"/>
  </xdr:twoCellAnchor>
  <xdr:twoCellAnchor>
    <xdr:from>
      <xdr:col>1</xdr:col>
      <xdr:colOff>33337</xdr:colOff>
      <xdr:row>1</xdr:row>
      <xdr:rowOff>191420</xdr:rowOff>
    </xdr:from>
    <xdr:to>
      <xdr:col>1</xdr:col>
      <xdr:colOff>2158217</xdr:colOff>
      <xdr:row>1</xdr:row>
      <xdr:rowOff>565266</xdr:rowOff>
    </xdr:to>
    <xdr:sp macro="[0]!PrintBS_Final" textlink="">
      <xdr:nvSpPr>
        <xdr:cNvPr id="11" name="Rectangle 10">
          <a:hlinkClick xmlns:r="http://schemas.openxmlformats.org/officeDocument/2006/relationships" r:id="rId5" tooltip="Go to Balance Sheet Data Entry"/>
        </xdr:cNvPr>
        <xdr:cNvSpPr/>
      </xdr:nvSpPr>
      <xdr:spPr>
        <a:xfrm>
          <a:off x="219075" y="505745"/>
          <a:ext cx="2124880" cy="373846"/>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 Entry</a:t>
          </a:r>
        </a:p>
      </xdr:txBody>
    </xdr:sp>
    <xdr:clientData fPrintsWithSheet="0"/>
  </xdr:twoCellAnchor>
  <xdr:twoCellAnchor>
    <xdr:from>
      <xdr:col>3</xdr:col>
      <xdr:colOff>315366</xdr:colOff>
      <xdr:row>1</xdr:row>
      <xdr:rowOff>191420</xdr:rowOff>
    </xdr:from>
    <xdr:to>
      <xdr:col>5</xdr:col>
      <xdr:colOff>902106</xdr:colOff>
      <xdr:row>1</xdr:row>
      <xdr:rowOff>565266</xdr:rowOff>
    </xdr:to>
    <xdr:sp macro="[0]!PrintBS_Final" textlink="">
      <xdr:nvSpPr>
        <xdr:cNvPr id="12" name="Rectangle 11">
          <a:hlinkClick xmlns:r="http://schemas.openxmlformats.org/officeDocument/2006/relationships" r:id="rId6" tooltip="Go to Balance Sheet Data Entry"/>
        </xdr:cNvPr>
        <xdr:cNvSpPr/>
      </xdr:nvSpPr>
      <xdr:spPr>
        <a:xfrm>
          <a:off x="4596854" y="505745"/>
          <a:ext cx="2148840" cy="373846"/>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 Data Entry</a:t>
          </a:r>
        </a:p>
      </xdr:txBody>
    </xdr:sp>
    <xdr:clientData fPrintsWithSheet="0"/>
  </xdr:twoCellAnchor>
  <xdr:twoCellAnchor editAs="oneCell">
    <xdr:from>
      <xdr:col>2</xdr:col>
      <xdr:colOff>1209675</xdr:colOff>
      <xdr:row>13</xdr:row>
      <xdr:rowOff>0</xdr:rowOff>
    </xdr:from>
    <xdr:to>
      <xdr:col>2</xdr:col>
      <xdr:colOff>1502283</xdr:colOff>
      <xdr:row>13</xdr:row>
      <xdr:rowOff>292608</xdr:rowOff>
    </xdr:to>
    <xdr:pic>
      <xdr:nvPicPr>
        <xdr:cNvPr id="13" name="Picture 12">
          <a:hlinkClick xmlns:r="http://schemas.openxmlformats.org/officeDocument/2006/relationships" r:id="rId7"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4086225"/>
          <a:ext cx="292608" cy="292608"/>
        </a:xfrm>
        <a:prstGeom prst="rect">
          <a:avLst/>
        </a:prstGeom>
      </xdr:spPr>
    </xdr:pic>
    <xdr:clientData/>
  </xdr:twoCellAnchor>
  <xdr:twoCellAnchor editAs="oneCell">
    <xdr:from>
      <xdr:col>2</xdr:col>
      <xdr:colOff>1209675</xdr:colOff>
      <xdr:row>21</xdr:row>
      <xdr:rowOff>0</xdr:rowOff>
    </xdr:from>
    <xdr:to>
      <xdr:col>2</xdr:col>
      <xdr:colOff>1502283</xdr:colOff>
      <xdr:row>21</xdr:row>
      <xdr:rowOff>292608</xdr:rowOff>
    </xdr:to>
    <xdr:pic>
      <xdr:nvPicPr>
        <xdr:cNvPr id="14" name="Picture 13">
          <a:hlinkClick xmlns:r="http://schemas.openxmlformats.org/officeDocument/2006/relationships" r:id="rId8"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6448425"/>
          <a:ext cx="292608" cy="292608"/>
        </a:xfrm>
        <a:prstGeom prst="rect">
          <a:avLst/>
        </a:prstGeom>
      </xdr:spPr>
    </xdr:pic>
    <xdr:clientData/>
  </xdr:twoCellAnchor>
  <xdr:twoCellAnchor editAs="oneCell">
    <xdr:from>
      <xdr:col>2</xdr:col>
      <xdr:colOff>1209675</xdr:colOff>
      <xdr:row>29</xdr:row>
      <xdr:rowOff>0</xdr:rowOff>
    </xdr:from>
    <xdr:to>
      <xdr:col>2</xdr:col>
      <xdr:colOff>1502283</xdr:colOff>
      <xdr:row>29</xdr:row>
      <xdr:rowOff>292608</xdr:rowOff>
    </xdr:to>
    <xdr:pic>
      <xdr:nvPicPr>
        <xdr:cNvPr id="15" name="Picture 14">
          <a:hlinkClick xmlns:r="http://schemas.openxmlformats.org/officeDocument/2006/relationships" r:id="rId9"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8963025"/>
          <a:ext cx="292608" cy="292608"/>
        </a:xfrm>
        <a:prstGeom prst="rect">
          <a:avLst/>
        </a:prstGeom>
      </xdr:spPr>
    </xdr:pic>
    <xdr:clientData/>
  </xdr:twoCellAnchor>
  <xdr:twoCellAnchor editAs="oneCell">
    <xdr:from>
      <xdr:col>2</xdr:col>
      <xdr:colOff>1209675</xdr:colOff>
      <xdr:row>53</xdr:row>
      <xdr:rowOff>0</xdr:rowOff>
    </xdr:from>
    <xdr:to>
      <xdr:col>2</xdr:col>
      <xdr:colOff>1502283</xdr:colOff>
      <xdr:row>53</xdr:row>
      <xdr:rowOff>292608</xdr:rowOff>
    </xdr:to>
    <xdr:pic>
      <xdr:nvPicPr>
        <xdr:cNvPr id="16" name="Picture 15">
          <a:hlinkClick xmlns:r="http://schemas.openxmlformats.org/officeDocument/2006/relationships" r:id="rId7"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1477625"/>
          <a:ext cx="292608" cy="292608"/>
        </a:xfrm>
        <a:prstGeom prst="rect">
          <a:avLst/>
        </a:prstGeom>
      </xdr:spPr>
    </xdr:pic>
    <xdr:clientData/>
  </xdr:twoCellAnchor>
  <xdr:twoCellAnchor editAs="oneCell">
    <xdr:from>
      <xdr:col>2</xdr:col>
      <xdr:colOff>1209675</xdr:colOff>
      <xdr:row>61</xdr:row>
      <xdr:rowOff>0</xdr:rowOff>
    </xdr:from>
    <xdr:to>
      <xdr:col>2</xdr:col>
      <xdr:colOff>1502283</xdr:colOff>
      <xdr:row>61</xdr:row>
      <xdr:rowOff>292608</xdr:rowOff>
    </xdr:to>
    <xdr:pic>
      <xdr:nvPicPr>
        <xdr:cNvPr id="17" name="Picture 16">
          <a:hlinkClick xmlns:r="http://schemas.openxmlformats.org/officeDocument/2006/relationships" r:id="rId10"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3992225"/>
          <a:ext cx="292608" cy="292608"/>
        </a:xfrm>
        <a:prstGeom prst="rect">
          <a:avLst/>
        </a:prstGeom>
      </xdr:spPr>
    </xdr:pic>
    <xdr:clientData/>
  </xdr:twoCellAnchor>
  <xdr:twoCellAnchor editAs="oneCell">
    <xdr:from>
      <xdr:col>2</xdr:col>
      <xdr:colOff>1209675</xdr:colOff>
      <xdr:row>69</xdr:row>
      <xdr:rowOff>0</xdr:rowOff>
    </xdr:from>
    <xdr:to>
      <xdr:col>2</xdr:col>
      <xdr:colOff>1502283</xdr:colOff>
      <xdr:row>69</xdr:row>
      <xdr:rowOff>292608</xdr:rowOff>
    </xdr:to>
    <xdr:pic>
      <xdr:nvPicPr>
        <xdr:cNvPr id="18" name="Picture 17">
          <a:hlinkClick xmlns:r="http://schemas.openxmlformats.org/officeDocument/2006/relationships" r:id="rId11"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6650" y="16506825"/>
          <a:ext cx="292608" cy="292608"/>
        </a:xfrm>
        <a:prstGeom prst="rect">
          <a:avLst/>
        </a:prstGeom>
      </xdr:spPr>
    </xdr:pic>
    <xdr:clientData/>
  </xdr:twoCellAnchor>
  <xdr:twoCellAnchor>
    <xdr:from>
      <xdr:col>27</xdr:col>
      <xdr:colOff>2585508</xdr:colOff>
      <xdr:row>0</xdr:row>
      <xdr:rowOff>208492</xdr:rowOff>
    </xdr:from>
    <xdr:to>
      <xdr:col>30</xdr:col>
      <xdr:colOff>596370</xdr:colOff>
      <xdr:row>1</xdr:row>
      <xdr:rowOff>470428</xdr:rowOff>
    </xdr:to>
    <xdr:sp macro="" textlink="GenInfoBSDate">
      <xdr:nvSpPr>
        <xdr:cNvPr id="3" name="Rectangle 2"/>
        <xdr:cNvSpPr/>
      </xdr:nvSpPr>
      <xdr:spPr>
        <a:xfrm>
          <a:off x="19549533" y="208492"/>
          <a:ext cx="2316162" cy="576261"/>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C1D3A863-0813-4E0D-820B-CBC74412A59E}" type="TxLink">
            <a:rPr lang="en-US" sz="1200" b="1" i="0" u="none" strike="noStrike">
              <a:solidFill>
                <a:srgbClr val="000000"/>
              </a:solidFill>
              <a:latin typeface="Arial"/>
              <a:cs typeface="Arial"/>
            </a:rPr>
            <a:pPr algn="l"/>
            <a:t>12/31/2016</a:t>
          </a:fld>
          <a:endParaRPr lang="en-US"/>
        </a:p>
      </xdr:txBody>
    </xdr:sp>
    <xdr:clientData/>
  </xdr:twoCellAnchor>
  <xdr:oneCellAnchor>
    <xdr:from>
      <xdr:col>2</xdr:col>
      <xdr:colOff>1209675</xdr:colOff>
      <xdr:row>21</xdr:row>
      <xdr:rowOff>0</xdr:rowOff>
    </xdr:from>
    <xdr:ext cx="292608" cy="292608"/>
    <xdr:pic>
      <xdr:nvPicPr>
        <xdr:cNvPr id="19" name="Picture 18">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29</xdr:row>
      <xdr:rowOff>0</xdr:rowOff>
    </xdr:from>
    <xdr:ext cx="292608" cy="292608"/>
    <xdr:pic>
      <xdr:nvPicPr>
        <xdr:cNvPr id="20" name="Picture 19">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53</xdr:row>
      <xdr:rowOff>0</xdr:rowOff>
    </xdr:from>
    <xdr:ext cx="292608" cy="292608"/>
    <xdr:pic>
      <xdr:nvPicPr>
        <xdr:cNvPr id="21" name="Picture 20">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61</xdr:row>
      <xdr:rowOff>0</xdr:rowOff>
    </xdr:from>
    <xdr:ext cx="292608" cy="292608"/>
    <xdr:pic>
      <xdr:nvPicPr>
        <xdr:cNvPr id="22" name="Picture 21">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69</xdr:row>
      <xdr:rowOff>0</xdr:rowOff>
    </xdr:from>
    <xdr:ext cx="292608" cy="292608"/>
    <xdr:pic>
      <xdr:nvPicPr>
        <xdr:cNvPr id="23" name="Picture 22">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21</xdr:row>
      <xdr:rowOff>0</xdr:rowOff>
    </xdr:from>
    <xdr:ext cx="292608" cy="292608"/>
    <xdr:pic>
      <xdr:nvPicPr>
        <xdr:cNvPr id="24" name="Picture 23">
          <a:hlinkClick xmlns:r="http://schemas.openxmlformats.org/officeDocument/2006/relationships" r:id="rId13"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29</xdr:row>
      <xdr:rowOff>0</xdr:rowOff>
    </xdr:from>
    <xdr:ext cx="292608" cy="292608"/>
    <xdr:pic>
      <xdr:nvPicPr>
        <xdr:cNvPr id="25" name="Picture 24">
          <a:hlinkClick xmlns:r="http://schemas.openxmlformats.org/officeDocument/2006/relationships" r:id="rId14"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53</xdr:row>
      <xdr:rowOff>0</xdr:rowOff>
    </xdr:from>
    <xdr:ext cx="292608" cy="292608"/>
    <xdr:pic>
      <xdr:nvPicPr>
        <xdr:cNvPr id="26" name="Picture 25">
          <a:hlinkClick xmlns:r="http://schemas.openxmlformats.org/officeDocument/2006/relationships" r:id="rId15"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61</xdr:row>
      <xdr:rowOff>0</xdr:rowOff>
    </xdr:from>
    <xdr:ext cx="292608" cy="292608"/>
    <xdr:pic>
      <xdr:nvPicPr>
        <xdr:cNvPr id="27" name="Picture 26">
          <a:hlinkClick xmlns:r="http://schemas.openxmlformats.org/officeDocument/2006/relationships" r:id="rId1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69</xdr:row>
      <xdr:rowOff>0</xdr:rowOff>
    </xdr:from>
    <xdr:ext cx="292608" cy="292608"/>
    <xdr:pic>
      <xdr:nvPicPr>
        <xdr:cNvPr id="28" name="Picture 27">
          <a:hlinkClick xmlns:r="http://schemas.openxmlformats.org/officeDocument/2006/relationships" r:id="rId11"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6175" y="4086225"/>
          <a:ext cx="292608" cy="292608"/>
        </a:xfrm>
        <a:prstGeom prst="rect">
          <a:avLst/>
        </a:prstGeom>
      </xdr:spPr>
    </xdr:pic>
    <xdr:clientData/>
  </xdr:oneCellAnchor>
  <xdr:oneCellAnchor>
    <xdr:from>
      <xdr:col>2</xdr:col>
      <xdr:colOff>1209675</xdr:colOff>
      <xdr:row>45</xdr:row>
      <xdr:rowOff>0</xdr:rowOff>
    </xdr:from>
    <xdr:ext cx="292608" cy="292608"/>
    <xdr:pic>
      <xdr:nvPicPr>
        <xdr:cNvPr id="29" name="Picture 28">
          <a:hlinkClick xmlns:r="http://schemas.openxmlformats.org/officeDocument/2006/relationships" r:id="rId7"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oneCellAnchor>
    <xdr:from>
      <xdr:col>2</xdr:col>
      <xdr:colOff>1209675</xdr:colOff>
      <xdr:row>45</xdr:row>
      <xdr:rowOff>0</xdr:rowOff>
    </xdr:from>
    <xdr:ext cx="292608" cy="292608"/>
    <xdr:pic>
      <xdr:nvPicPr>
        <xdr:cNvPr id="30" name="Picture 29">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oneCellAnchor>
    <xdr:from>
      <xdr:col>2</xdr:col>
      <xdr:colOff>1209675</xdr:colOff>
      <xdr:row>45</xdr:row>
      <xdr:rowOff>0</xdr:rowOff>
    </xdr:from>
    <xdr:ext cx="292608" cy="292608"/>
    <xdr:pic>
      <xdr:nvPicPr>
        <xdr:cNvPr id="31" name="Picture 30">
          <a:hlinkClick xmlns:r="http://schemas.openxmlformats.org/officeDocument/2006/relationships" r:id="rId16"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142" y="13631333"/>
          <a:ext cx="292608" cy="292608"/>
        </a:xfrm>
        <a:prstGeom prst="rect">
          <a:avLst/>
        </a:prstGeom>
      </xdr:spPr>
    </xdr:pic>
    <xdr:clientData/>
  </xdr:oneCellAnchor>
  <xdr:twoCellAnchor>
    <xdr:from>
      <xdr:col>1</xdr:col>
      <xdr:colOff>2209100</xdr:colOff>
      <xdr:row>1</xdr:row>
      <xdr:rowOff>191420</xdr:rowOff>
    </xdr:from>
    <xdr:to>
      <xdr:col>3</xdr:col>
      <xdr:colOff>263865</xdr:colOff>
      <xdr:row>1</xdr:row>
      <xdr:rowOff>566324</xdr:rowOff>
    </xdr:to>
    <xdr:sp macro="[0]!PrintBS_Final" textlink="">
      <xdr:nvSpPr>
        <xdr:cNvPr id="33" name="Rectangle 32">
          <a:hlinkClick xmlns:r="http://schemas.openxmlformats.org/officeDocument/2006/relationships" r:id="rId17" tooltip="Go to Balance Sheet Data Entry"/>
        </xdr:cNvPr>
        <xdr:cNvSpPr/>
      </xdr:nvSpPr>
      <xdr:spPr>
        <a:xfrm>
          <a:off x="2394838" y="505745"/>
          <a:ext cx="2150515" cy="374904"/>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oneCellAnchor>
    <xdr:from>
      <xdr:col>2</xdr:col>
      <xdr:colOff>1209675</xdr:colOff>
      <xdr:row>37</xdr:row>
      <xdr:rowOff>0</xdr:rowOff>
    </xdr:from>
    <xdr:ext cx="292608" cy="292608"/>
    <xdr:pic>
      <xdr:nvPicPr>
        <xdr:cNvPr id="32" name="Picture 31">
          <a:hlinkClick xmlns:r="http://schemas.openxmlformats.org/officeDocument/2006/relationships" r:id="rId7"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oneCellAnchor>
    <xdr:from>
      <xdr:col>2</xdr:col>
      <xdr:colOff>1209675</xdr:colOff>
      <xdr:row>37</xdr:row>
      <xdr:rowOff>0</xdr:rowOff>
    </xdr:from>
    <xdr:ext cx="292608" cy="292608"/>
    <xdr:pic>
      <xdr:nvPicPr>
        <xdr:cNvPr id="34" name="Picture 33">
          <a:hlinkClick xmlns:r="http://schemas.openxmlformats.org/officeDocument/2006/relationships" r:id="rId12" tooltip="Go back to simple entry"/>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oneCellAnchor>
    <xdr:from>
      <xdr:col>2</xdr:col>
      <xdr:colOff>1209675</xdr:colOff>
      <xdr:row>37</xdr:row>
      <xdr:rowOff>0</xdr:rowOff>
    </xdr:from>
    <xdr:ext cx="292608" cy="292608"/>
    <xdr:pic>
      <xdr:nvPicPr>
        <xdr:cNvPr id="35" name="Picture 34">
          <a:hlinkClick xmlns:r="http://schemas.openxmlformats.org/officeDocument/2006/relationships" r:id="rId18" tooltip="Go to completed balance shee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1966" y="14197541"/>
          <a:ext cx="292608" cy="29260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4</xdr:row>
      <xdr:rowOff>57161</xdr:rowOff>
    </xdr:from>
    <xdr:to>
      <xdr:col>10</xdr:col>
      <xdr:colOff>368427</xdr:colOff>
      <xdr:row>7</xdr:row>
      <xdr:rowOff>144368</xdr:rowOff>
    </xdr:to>
    <xdr:sp macro="[0]!PrintBS_Final" textlink="">
      <xdr:nvSpPr>
        <xdr:cNvPr id="2" name="Rectangle 1">
          <a:hlinkClick xmlns:r="http://schemas.openxmlformats.org/officeDocument/2006/relationships" r:id="rId1" tooltip="Go to Balance Sheet Data Entry"/>
        </xdr:cNvPr>
        <xdr:cNvSpPr/>
      </xdr:nvSpPr>
      <xdr:spPr>
        <a:xfrm>
          <a:off x="8157633" y="662528"/>
          <a:ext cx="1680761" cy="548640"/>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1. Go</a:t>
          </a:r>
          <a:r>
            <a:rPr lang="en-US" sz="1400" b="1" baseline="0"/>
            <a:t> to </a:t>
          </a:r>
          <a:r>
            <a:rPr lang="en-US" sz="1400" b="1"/>
            <a:t>Asset</a:t>
          </a:r>
        </a:p>
        <a:p>
          <a:pPr algn="ctr"/>
          <a:r>
            <a:rPr lang="en-US" sz="1400" b="1"/>
            <a:t>Entry</a:t>
          </a:r>
        </a:p>
      </xdr:txBody>
    </xdr:sp>
    <xdr:clientData fPrintsWithSheet="0"/>
  </xdr:twoCellAnchor>
  <xdr:twoCellAnchor editAs="oneCell">
    <xdr:from>
      <xdr:col>1</xdr:col>
      <xdr:colOff>28576</xdr:colOff>
      <xdr:row>0</xdr:row>
      <xdr:rowOff>0</xdr:rowOff>
    </xdr:from>
    <xdr:to>
      <xdr:col>1</xdr:col>
      <xdr:colOff>642938</xdr:colOff>
      <xdr:row>3</xdr:row>
      <xdr:rowOff>170418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795" y="0"/>
          <a:ext cx="614362" cy="610949"/>
        </a:xfrm>
        <a:prstGeom prst="rect">
          <a:avLst/>
        </a:prstGeom>
      </xdr:spPr>
    </xdr:pic>
    <xdr:clientData/>
  </xdr:twoCellAnchor>
  <xdr:twoCellAnchor editAs="oneCell">
    <xdr:from>
      <xdr:col>8</xdr:col>
      <xdr:colOff>0</xdr:colOff>
      <xdr:row>19</xdr:row>
      <xdr:rowOff>123825</xdr:rowOff>
    </xdr:from>
    <xdr:to>
      <xdr:col>10</xdr:col>
      <xdr:colOff>368427</xdr:colOff>
      <xdr:row>23</xdr:row>
      <xdr:rowOff>29146</xdr:rowOff>
    </xdr:to>
    <xdr:sp macro="[0]!PrintBS_Final" textlink="">
      <xdr:nvSpPr>
        <xdr:cNvPr id="4" name="Rectangle 3">
          <a:hlinkClick xmlns:r="http://schemas.openxmlformats.org/officeDocument/2006/relationships" r:id="rId3" tooltip="Go to Income Statement &amp; Cash Flow Plan"/>
        </xdr:cNvPr>
        <xdr:cNvSpPr/>
      </xdr:nvSpPr>
      <xdr:spPr>
        <a:xfrm>
          <a:off x="8096250" y="3086100"/>
          <a:ext cx="1673352" cy="557784"/>
        </a:xfrm>
        <a:prstGeom prst="rect">
          <a:avLst/>
        </a:prstGeom>
        <a:solidFill>
          <a:srgbClr val="4A89DC"/>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6. Go</a:t>
          </a:r>
          <a:r>
            <a:rPr lang="en-US" sz="1400" b="1" baseline="0"/>
            <a:t> to </a:t>
          </a:r>
          <a:r>
            <a:rPr lang="en-US" sz="1400" b="1"/>
            <a:t>Cash Flow Plan</a:t>
          </a:r>
        </a:p>
      </xdr:txBody>
    </xdr:sp>
    <xdr:clientData fPrintsWithSheet="0"/>
  </xdr:twoCellAnchor>
  <xdr:twoCellAnchor editAs="oneCell">
    <xdr:from>
      <xdr:col>8</xdr:col>
      <xdr:colOff>0</xdr:colOff>
      <xdr:row>0</xdr:row>
      <xdr:rowOff>133350</xdr:rowOff>
    </xdr:from>
    <xdr:to>
      <xdr:col>10</xdr:col>
      <xdr:colOff>368427</xdr:colOff>
      <xdr:row>4</xdr:row>
      <xdr:rowOff>5715</xdr:rowOff>
    </xdr:to>
    <xdr:sp macro="[0]!PrintBS_Final" textlink="">
      <xdr:nvSpPr>
        <xdr:cNvPr id="5" name="Rectangle 4">
          <a:hlinkClick xmlns:r="http://schemas.openxmlformats.org/officeDocument/2006/relationships" r:id="rId4" tooltip="Go to General Info"/>
        </xdr:cNvPr>
        <xdr:cNvSpPr/>
      </xdr:nvSpPr>
      <xdr:spPr>
        <a:xfrm>
          <a:off x="8096250" y="133350"/>
          <a:ext cx="1673352"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8</xdr:col>
      <xdr:colOff>0</xdr:colOff>
      <xdr:row>11</xdr:row>
      <xdr:rowOff>159810</xdr:rowOff>
    </xdr:from>
    <xdr:to>
      <xdr:col>10</xdr:col>
      <xdr:colOff>368427</xdr:colOff>
      <xdr:row>15</xdr:row>
      <xdr:rowOff>64983</xdr:rowOff>
    </xdr:to>
    <xdr:sp macro="[0]!PrintBS_Final" textlink="">
      <xdr:nvSpPr>
        <xdr:cNvPr id="6" name="Rectangle 5">
          <a:hlinkClick xmlns:r="http://schemas.openxmlformats.org/officeDocument/2006/relationships" r:id="rId5" tooltip="Go to Balance Sheet Data Entry"/>
        </xdr:cNvPr>
        <xdr:cNvSpPr/>
      </xdr:nvSpPr>
      <xdr:spPr>
        <a:xfrm>
          <a:off x="7562850" y="1912410"/>
          <a:ext cx="1587627" cy="552873"/>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3. Go</a:t>
          </a:r>
          <a:r>
            <a:rPr lang="en-US" sz="1400" b="1" baseline="0"/>
            <a:t> to </a:t>
          </a:r>
          <a:r>
            <a:rPr lang="en-US" sz="1400" b="1"/>
            <a:t>Liability</a:t>
          </a:r>
        </a:p>
        <a:p>
          <a:pPr algn="ctr"/>
          <a:r>
            <a:rPr lang="en-US" sz="1400" b="1"/>
            <a:t>Entry</a:t>
          </a:r>
        </a:p>
      </xdr:txBody>
    </xdr:sp>
    <xdr:clientData fPrintsWithSheet="0"/>
  </xdr:twoCellAnchor>
  <xdr:twoCellAnchor editAs="oneCell">
    <xdr:from>
      <xdr:col>8</xdr:col>
      <xdr:colOff>0</xdr:colOff>
      <xdr:row>15</xdr:row>
      <xdr:rowOff>123833</xdr:rowOff>
    </xdr:from>
    <xdr:to>
      <xdr:col>10</xdr:col>
      <xdr:colOff>368427</xdr:colOff>
      <xdr:row>19</xdr:row>
      <xdr:rowOff>84040</xdr:rowOff>
    </xdr:to>
    <xdr:sp macro="[0]!PrintBS_Final" textlink="">
      <xdr:nvSpPr>
        <xdr:cNvPr id="7" name="Rectangle 6">
          <a:hlinkClick xmlns:r="http://schemas.openxmlformats.org/officeDocument/2006/relationships" r:id="rId6" tooltip="Go to Balance Sheet Data Entry"/>
        </xdr:cNvPr>
        <xdr:cNvSpPr/>
      </xdr:nvSpPr>
      <xdr:spPr>
        <a:xfrm>
          <a:off x="8096250" y="2490796"/>
          <a:ext cx="1673352" cy="555519"/>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4. Go</a:t>
          </a:r>
          <a:r>
            <a:rPr lang="en-US" sz="1400" b="1" baseline="0"/>
            <a:t> to </a:t>
          </a:r>
          <a:r>
            <a:rPr lang="en-US" sz="1400" b="1"/>
            <a:t>Loan</a:t>
          </a:r>
        </a:p>
        <a:p>
          <a:pPr algn="ctr"/>
          <a:r>
            <a:rPr lang="en-US" sz="1400" b="1" baseline="0"/>
            <a:t>Entry</a:t>
          </a:r>
          <a:endParaRPr lang="en-US" sz="1400" b="1"/>
        </a:p>
      </xdr:txBody>
    </xdr:sp>
    <xdr:clientData fPrintsWithSheet="0"/>
  </xdr:twoCellAnchor>
  <xdr:twoCellAnchor editAs="oneCell">
    <xdr:from>
      <xdr:col>8</xdr:col>
      <xdr:colOff>0</xdr:colOff>
      <xdr:row>35</xdr:row>
      <xdr:rowOff>2126</xdr:rowOff>
    </xdr:from>
    <xdr:to>
      <xdr:col>10</xdr:col>
      <xdr:colOff>368427</xdr:colOff>
      <xdr:row>45</xdr:row>
      <xdr:rowOff>71976</xdr:rowOff>
    </xdr:to>
    <xdr:sp macro="[0]!PrintBS_Final" textlink="">
      <xdr:nvSpPr>
        <xdr:cNvPr id="8" name="Rectangle 7">
          <a:hlinkClick xmlns:r="http://schemas.openxmlformats.org/officeDocument/2006/relationships" r:id="rId7" tooltip="Go to Online Help Video"/>
        </xdr:cNvPr>
        <xdr:cNvSpPr/>
      </xdr:nvSpPr>
      <xdr:spPr>
        <a:xfrm>
          <a:off x="8157633" y="5365759"/>
          <a:ext cx="1680761" cy="878417"/>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How to Use -Balance Sheet help video </a:t>
          </a:r>
        </a:p>
        <a:p>
          <a:pPr algn="ctr"/>
          <a:r>
            <a:rPr lang="en-US" sz="1400" b="1" baseline="0"/>
            <a:t>(opens browser)</a:t>
          </a:r>
          <a:endParaRPr lang="en-US" sz="1400" b="1"/>
        </a:p>
      </xdr:txBody>
    </xdr:sp>
    <xdr:clientData fPrintsWithSheet="0"/>
  </xdr:twoCellAnchor>
  <xdr:twoCellAnchor editAs="oneCell">
    <xdr:from>
      <xdr:col>8</xdr:col>
      <xdr:colOff>0</xdr:colOff>
      <xdr:row>23</xdr:row>
      <xdr:rowOff>61913</xdr:rowOff>
    </xdr:from>
    <xdr:to>
      <xdr:col>10</xdr:col>
      <xdr:colOff>368427</xdr:colOff>
      <xdr:row>27</xdr:row>
      <xdr:rowOff>57722</xdr:rowOff>
    </xdr:to>
    <xdr:sp macro="[0]!PrintBS_Final" textlink="">
      <xdr:nvSpPr>
        <xdr:cNvPr id="10" name="Rectangle 9">
          <a:hlinkClick xmlns:r="http://schemas.openxmlformats.org/officeDocument/2006/relationships" r:id="rId8" tooltip="Go to Balance Sheet Data Entry"/>
        </xdr:cNvPr>
        <xdr:cNvSpPr/>
      </xdr:nvSpPr>
      <xdr:spPr>
        <a:xfrm>
          <a:off x="8096250" y="3676651"/>
          <a:ext cx="1673352" cy="557784"/>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Proposed Loans</a:t>
          </a:r>
          <a:endParaRPr lang="en-US" sz="1400" b="1"/>
        </a:p>
      </xdr:txBody>
    </xdr:sp>
    <xdr:clientData fPrintsWithSheet="0"/>
  </xdr:twoCellAnchor>
  <xdr:twoCellAnchor editAs="oneCell">
    <xdr:from>
      <xdr:col>8</xdr:col>
      <xdr:colOff>0</xdr:colOff>
      <xdr:row>27</xdr:row>
      <xdr:rowOff>152395</xdr:rowOff>
    </xdr:from>
    <xdr:to>
      <xdr:col>10</xdr:col>
      <xdr:colOff>368427</xdr:colOff>
      <xdr:row>34</xdr:row>
      <xdr:rowOff>140648</xdr:rowOff>
    </xdr:to>
    <xdr:sp macro="[0]!PrintBS_Final" textlink="">
      <xdr:nvSpPr>
        <xdr:cNvPr id="12" name="Rectangle 11">
          <a:hlinkClick xmlns:r="http://schemas.openxmlformats.org/officeDocument/2006/relationships" r:id="rId9"/>
        </xdr:cNvPr>
        <xdr:cNvSpPr/>
      </xdr:nvSpPr>
      <xdr:spPr>
        <a:xfrm>
          <a:off x="7562850" y="4352920"/>
          <a:ext cx="1587627" cy="1026478"/>
        </a:xfrm>
        <a:prstGeom prst="rect">
          <a:avLst/>
        </a:prstGeom>
        <a:solidFill>
          <a:srgbClr val="FFFF00"/>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i="1">
              <a:solidFill>
                <a:sysClr val="windowText" lastClr="000000"/>
              </a:solidFill>
            </a:rPr>
            <a:t>This is the print version of your balance sheet. Hit Ctrl P to print</a:t>
          </a:r>
        </a:p>
      </xdr:txBody>
    </xdr:sp>
    <xdr:clientData fPrintsWithSheet="0"/>
  </xdr:twoCellAnchor>
  <xdr:twoCellAnchor editAs="absolute">
    <xdr:from>
      <xdr:col>8</xdr:col>
      <xdr:colOff>0</xdr:colOff>
      <xdr:row>8</xdr:row>
      <xdr:rowOff>61384</xdr:rowOff>
    </xdr:from>
    <xdr:to>
      <xdr:col>10</xdr:col>
      <xdr:colOff>370162</xdr:colOff>
      <xdr:row>11</xdr:row>
      <xdr:rowOff>127424</xdr:rowOff>
    </xdr:to>
    <xdr:sp macro="[0]!PrintBS_Final" textlink="">
      <xdr:nvSpPr>
        <xdr:cNvPr id="11" name="Rectangle 10">
          <a:hlinkClick xmlns:r="http://schemas.openxmlformats.org/officeDocument/2006/relationships" r:id="rId10" tooltip="Go to Balance Sheet Data Entry"/>
        </xdr:cNvPr>
        <xdr:cNvSpPr/>
      </xdr:nvSpPr>
      <xdr:spPr>
        <a:xfrm>
          <a:off x="7562850" y="1309159"/>
          <a:ext cx="1589362" cy="551815"/>
        </a:xfrm>
        <a:prstGeom prst="rect">
          <a:avLst/>
        </a:prstGeom>
        <a:solidFill>
          <a:srgbClr val="8CC05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2. Go</a:t>
          </a:r>
          <a:r>
            <a:rPr lang="en-US" sz="1400" b="1" baseline="0"/>
            <a:t> to </a:t>
          </a:r>
          <a:r>
            <a:rPr lang="en-US" sz="1400" b="1"/>
            <a:t>Inventory Entry</a:t>
          </a:r>
        </a:p>
      </xdr:txBody>
    </xdr:sp>
    <xdr:clientData fPrintsWithSheet="0"/>
  </xdr:twoCellAnchor>
  <xdr:twoCellAnchor>
    <xdr:from>
      <xdr:col>8</xdr:col>
      <xdr:colOff>0</xdr:colOff>
      <xdr:row>45</xdr:row>
      <xdr:rowOff>127000</xdr:rowOff>
    </xdr:from>
    <xdr:to>
      <xdr:col>10</xdr:col>
      <xdr:colOff>370162</xdr:colOff>
      <xdr:row>49</xdr:row>
      <xdr:rowOff>73871</xdr:rowOff>
    </xdr:to>
    <xdr:sp macro="[0]!PrintBS_Final" textlink="">
      <xdr:nvSpPr>
        <xdr:cNvPr id="13" name="Rectangle 12">
          <a:hlinkClick xmlns:r="http://schemas.openxmlformats.org/officeDocument/2006/relationships" r:id="rId11" tooltip="Go to Balance Sheet Data Entry"/>
        </xdr:cNvPr>
        <xdr:cNvSpPr/>
      </xdr:nvSpPr>
      <xdr:spPr>
        <a:xfrm>
          <a:off x="8157633" y="6299200"/>
          <a:ext cx="1682496" cy="628438"/>
        </a:xfrm>
        <a:prstGeom prst="rect">
          <a:avLst/>
        </a:prstGeom>
        <a:solidFill>
          <a:schemeClr val="accent2"/>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Scorecard</a:t>
          </a:r>
          <a:endParaRPr lang="en-US" sz="1400" b="1">
            <a:ln>
              <a:noFill/>
            </a:ln>
          </a:endParaRPr>
        </a:p>
      </xdr:txBody>
    </xdr:sp>
    <xdr:clientData/>
  </xdr:twoCellAnchor>
  <xdr:twoCellAnchor>
    <xdr:from>
      <xdr:col>8</xdr:col>
      <xdr:colOff>0</xdr:colOff>
      <xdr:row>50</xdr:row>
      <xdr:rowOff>0</xdr:rowOff>
    </xdr:from>
    <xdr:to>
      <xdr:col>10</xdr:col>
      <xdr:colOff>370162</xdr:colOff>
      <xdr:row>53</xdr:row>
      <xdr:rowOff>148336</xdr:rowOff>
    </xdr:to>
    <xdr:sp macro="[0]!PrintBS_Final" textlink="">
      <xdr:nvSpPr>
        <xdr:cNvPr id="14" name="Rectangle 13">
          <a:hlinkClick xmlns:r="http://schemas.openxmlformats.org/officeDocument/2006/relationships" r:id="rId12" tooltip="Go to the Financial Scorecard"/>
        </xdr:cNvPr>
        <xdr:cNvSpPr/>
      </xdr:nvSpPr>
      <xdr:spPr>
        <a:xfrm>
          <a:off x="8157633" y="7014633"/>
          <a:ext cx="1682496" cy="630936"/>
        </a:xfrm>
        <a:prstGeom prst="rect">
          <a:avLst/>
        </a:prstGeom>
        <a:solidFill>
          <a:schemeClr val="accent4"/>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ln>
                <a:noFill/>
              </a:ln>
            </a:rPr>
            <a:t>Go</a:t>
          </a:r>
          <a:r>
            <a:rPr lang="en-US" sz="1400" b="1" baseline="0">
              <a:ln>
                <a:noFill/>
              </a:ln>
            </a:rPr>
            <a:t> to Financial Dashboard</a:t>
          </a:r>
          <a:endParaRPr lang="en-US" sz="1400" b="1">
            <a:ln>
              <a:noFill/>
            </a:l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135732</xdr:colOff>
      <xdr:row>0</xdr:row>
      <xdr:rowOff>147637</xdr:rowOff>
    </xdr:from>
    <xdr:to>
      <xdr:col>1</xdr:col>
      <xdr:colOff>781922</xdr:colOff>
      <xdr:row>4</xdr:row>
      <xdr:rowOff>109085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732" y="147637"/>
          <a:ext cx="646190" cy="634548"/>
        </a:xfrm>
        <a:prstGeom prst="rect">
          <a:avLst/>
        </a:prstGeom>
      </xdr:spPr>
    </xdr:pic>
    <xdr:clientData/>
  </xdr:twoCellAnchor>
  <xdr:twoCellAnchor editAs="oneCell">
    <xdr:from>
      <xdr:col>3</xdr:col>
      <xdr:colOff>648602</xdr:colOff>
      <xdr:row>161</xdr:row>
      <xdr:rowOff>5411</xdr:rowOff>
    </xdr:from>
    <xdr:to>
      <xdr:col>3</xdr:col>
      <xdr:colOff>826999</xdr:colOff>
      <xdr:row>161</xdr:row>
      <xdr:rowOff>188300</xdr:rowOff>
    </xdr:to>
    <xdr:pic>
      <xdr:nvPicPr>
        <xdr:cNvPr id="5" name="Picture 4">
          <a:hlinkClick xmlns:r="http://schemas.openxmlformats.org/officeDocument/2006/relationships" r:id="rId2" tooltip="Go back to General Info to change personal details option"/>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29927" y="23198786"/>
          <a:ext cx="178397" cy="182889"/>
        </a:xfrm>
        <a:prstGeom prst="rect">
          <a:avLst/>
        </a:prstGeom>
      </xdr:spPr>
    </xdr:pic>
    <xdr:clientData fPrintsWithSheet="0"/>
  </xdr:twoCellAnchor>
  <xdr:twoCellAnchor editAs="oneCell">
    <xdr:from>
      <xdr:col>3</xdr:col>
      <xdr:colOff>661052</xdr:colOff>
      <xdr:row>101</xdr:row>
      <xdr:rowOff>23813</xdr:rowOff>
    </xdr:from>
    <xdr:to>
      <xdr:col>3</xdr:col>
      <xdr:colOff>826999</xdr:colOff>
      <xdr:row>102</xdr:row>
      <xdr:rowOff>16192</xdr:rowOff>
    </xdr:to>
    <xdr:pic>
      <xdr:nvPicPr>
        <xdr:cNvPr id="7" name="Picture 6">
          <a:hlinkClick xmlns:r="http://schemas.openxmlformats.org/officeDocument/2006/relationships" r:id="rId4" tooltip="Go back to General Info to change how you sell your produc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2377" y="14711363"/>
          <a:ext cx="165947" cy="182879"/>
        </a:xfrm>
        <a:prstGeom prst="rect">
          <a:avLst/>
        </a:prstGeom>
      </xdr:spPr>
    </xdr:pic>
    <xdr:clientData fPrintsWithSheet="0"/>
  </xdr:twoCellAnchor>
  <xdr:twoCellAnchor editAs="oneCell">
    <xdr:from>
      <xdr:col>5</xdr:col>
      <xdr:colOff>81774</xdr:colOff>
      <xdr:row>0</xdr:row>
      <xdr:rowOff>147637</xdr:rowOff>
    </xdr:from>
    <xdr:to>
      <xdr:col>7</xdr:col>
      <xdr:colOff>266713</xdr:colOff>
      <xdr:row>4</xdr:row>
      <xdr:rowOff>20002</xdr:rowOff>
    </xdr:to>
    <xdr:sp macro="" textlink="">
      <xdr:nvSpPr>
        <xdr:cNvPr id="2" name="Rectangle 1">
          <a:hlinkClick xmlns:r="http://schemas.openxmlformats.org/officeDocument/2006/relationships" r:id="rId5" tooltip="Click to go to the final cash flow plan to print the summarized cash flow plan."/>
        </xdr:cNvPr>
        <xdr:cNvSpPr/>
      </xdr:nvSpPr>
      <xdr:spPr>
        <a:xfrm>
          <a:off x="4901424" y="147637"/>
          <a:ext cx="1689889" cy="54864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b="1"/>
            <a:t>9. V</a:t>
          </a:r>
          <a:r>
            <a:rPr lang="en-US" sz="1400" b="1" baseline="0"/>
            <a:t>iew/Print final cash flow plan</a:t>
          </a:r>
          <a:endParaRPr lang="en-US" sz="1400" b="1"/>
        </a:p>
      </xdr:txBody>
    </xdr:sp>
    <xdr:clientData fPrintsWithSheet="0"/>
  </xdr:twoCellAnchor>
  <xdr:twoCellAnchor editAs="oneCell">
    <xdr:from>
      <xdr:col>2</xdr:col>
      <xdr:colOff>0</xdr:colOff>
      <xdr:row>9</xdr:row>
      <xdr:rowOff>0</xdr:rowOff>
    </xdr:from>
    <xdr:to>
      <xdr:col>2</xdr:col>
      <xdr:colOff>137160</xdr:colOff>
      <xdr:row>9</xdr:row>
      <xdr:rowOff>137160</xdr:rowOff>
    </xdr:to>
    <xdr:pic>
      <xdr:nvPicPr>
        <xdr:cNvPr id="9" name="Picture 8">
          <a:hlinkClick xmlns:r="http://schemas.openxmlformats.org/officeDocument/2006/relationships" r:id="rId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457325"/>
          <a:ext cx="137160" cy="137160"/>
        </a:xfrm>
        <a:prstGeom prst="rect">
          <a:avLst/>
        </a:prstGeom>
      </xdr:spPr>
    </xdr:pic>
    <xdr:clientData fPrintsWithSheet="0"/>
  </xdr:twoCellAnchor>
  <xdr:twoCellAnchor editAs="oneCell">
    <xdr:from>
      <xdr:col>2</xdr:col>
      <xdr:colOff>0</xdr:colOff>
      <xdr:row>10</xdr:row>
      <xdr:rowOff>7327</xdr:rowOff>
    </xdr:from>
    <xdr:to>
      <xdr:col>2</xdr:col>
      <xdr:colOff>137160</xdr:colOff>
      <xdr:row>10</xdr:row>
      <xdr:rowOff>144487</xdr:rowOff>
    </xdr:to>
    <xdr:pic>
      <xdr:nvPicPr>
        <xdr:cNvPr id="10" name="Picture 9">
          <a:hlinkClick xmlns:r="http://schemas.openxmlformats.org/officeDocument/2006/relationships" r:id="rId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626577"/>
          <a:ext cx="137160" cy="137160"/>
        </a:xfrm>
        <a:prstGeom prst="rect">
          <a:avLst/>
        </a:prstGeom>
      </xdr:spPr>
    </xdr:pic>
    <xdr:clientData fPrintsWithSheet="0"/>
  </xdr:twoCellAnchor>
  <xdr:twoCellAnchor editAs="oneCell">
    <xdr:from>
      <xdr:col>2</xdr:col>
      <xdr:colOff>0</xdr:colOff>
      <xdr:row>88</xdr:row>
      <xdr:rowOff>5861</xdr:rowOff>
    </xdr:from>
    <xdr:to>
      <xdr:col>2</xdr:col>
      <xdr:colOff>137160</xdr:colOff>
      <xdr:row>88</xdr:row>
      <xdr:rowOff>143021</xdr:rowOff>
    </xdr:to>
    <xdr:pic>
      <xdr:nvPicPr>
        <xdr:cNvPr id="11" name="Picture 10">
          <a:hlinkClick xmlns:r="http://schemas.openxmlformats.org/officeDocument/2006/relationships" r:id="rId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8673611"/>
          <a:ext cx="137160" cy="137160"/>
        </a:xfrm>
        <a:prstGeom prst="rect">
          <a:avLst/>
        </a:prstGeom>
      </xdr:spPr>
    </xdr:pic>
    <xdr:clientData fPrintsWithSheet="0"/>
  </xdr:twoCellAnchor>
  <xdr:twoCellAnchor editAs="oneCell">
    <xdr:from>
      <xdr:col>2</xdr:col>
      <xdr:colOff>0</xdr:colOff>
      <xdr:row>11</xdr:row>
      <xdr:rowOff>0</xdr:rowOff>
    </xdr:from>
    <xdr:to>
      <xdr:col>2</xdr:col>
      <xdr:colOff>137160</xdr:colOff>
      <xdr:row>11</xdr:row>
      <xdr:rowOff>137160</xdr:rowOff>
    </xdr:to>
    <xdr:pic>
      <xdr:nvPicPr>
        <xdr:cNvPr id="13" name="Picture 12">
          <a:hlinkClick xmlns:r="http://schemas.openxmlformats.org/officeDocument/2006/relationships" r:id="rId1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1781175"/>
          <a:ext cx="137160" cy="137160"/>
        </a:xfrm>
        <a:prstGeom prst="rect">
          <a:avLst/>
        </a:prstGeom>
      </xdr:spPr>
    </xdr:pic>
    <xdr:clientData fPrintsWithSheet="0"/>
  </xdr:twoCellAnchor>
  <xdr:twoCellAnchor editAs="oneCell">
    <xdr:from>
      <xdr:col>2</xdr:col>
      <xdr:colOff>0</xdr:colOff>
      <xdr:row>20</xdr:row>
      <xdr:rowOff>0</xdr:rowOff>
    </xdr:from>
    <xdr:to>
      <xdr:col>2</xdr:col>
      <xdr:colOff>137160</xdr:colOff>
      <xdr:row>20</xdr:row>
      <xdr:rowOff>137160</xdr:rowOff>
    </xdr:to>
    <xdr:pic>
      <xdr:nvPicPr>
        <xdr:cNvPr id="14" name="Picture 13">
          <a:hlinkClick xmlns:r="http://schemas.openxmlformats.org/officeDocument/2006/relationships" r:id="rId1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2266950"/>
          <a:ext cx="137160" cy="137160"/>
        </a:xfrm>
        <a:prstGeom prst="rect">
          <a:avLst/>
        </a:prstGeom>
      </xdr:spPr>
    </xdr:pic>
    <xdr:clientData fPrintsWithSheet="0"/>
  </xdr:twoCellAnchor>
  <xdr:twoCellAnchor editAs="oneCell">
    <xdr:from>
      <xdr:col>2</xdr:col>
      <xdr:colOff>0</xdr:colOff>
      <xdr:row>46</xdr:row>
      <xdr:rowOff>469</xdr:rowOff>
    </xdr:from>
    <xdr:to>
      <xdr:col>2</xdr:col>
      <xdr:colOff>136221</xdr:colOff>
      <xdr:row>46</xdr:row>
      <xdr:rowOff>136690</xdr:rowOff>
    </xdr:to>
    <xdr:pic>
      <xdr:nvPicPr>
        <xdr:cNvPr id="15" name="Picture 14">
          <a:hlinkClick xmlns:r="http://schemas.openxmlformats.org/officeDocument/2006/relationships" r:id="rId1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2743669"/>
          <a:ext cx="136221" cy="136221"/>
        </a:xfrm>
        <a:prstGeom prst="rect">
          <a:avLst/>
        </a:prstGeom>
      </xdr:spPr>
    </xdr:pic>
    <xdr:clientData fPrintsWithSheet="0"/>
  </xdr:twoCellAnchor>
  <xdr:twoCellAnchor editAs="oneCell">
    <xdr:from>
      <xdr:col>2</xdr:col>
      <xdr:colOff>0</xdr:colOff>
      <xdr:row>28</xdr:row>
      <xdr:rowOff>469</xdr:rowOff>
    </xdr:from>
    <xdr:to>
      <xdr:col>2</xdr:col>
      <xdr:colOff>136221</xdr:colOff>
      <xdr:row>28</xdr:row>
      <xdr:rowOff>136690</xdr:rowOff>
    </xdr:to>
    <xdr:pic>
      <xdr:nvPicPr>
        <xdr:cNvPr id="16" name="Picture 15">
          <a:hlinkClick xmlns:r="http://schemas.openxmlformats.org/officeDocument/2006/relationships" r:id="rId1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2905594"/>
          <a:ext cx="136221" cy="136221"/>
        </a:xfrm>
        <a:prstGeom prst="rect">
          <a:avLst/>
        </a:prstGeom>
      </xdr:spPr>
    </xdr:pic>
    <xdr:clientData fPrintsWithSheet="0"/>
  </xdr:twoCellAnchor>
  <xdr:twoCellAnchor editAs="oneCell">
    <xdr:from>
      <xdr:col>2</xdr:col>
      <xdr:colOff>210</xdr:colOff>
      <xdr:row>29</xdr:row>
      <xdr:rowOff>1360</xdr:rowOff>
    </xdr:from>
    <xdr:to>
      <xdr:col>2</xdr:col>
      <xdr:colOff>136010</xdr:colOff>
      <xdr:row>29</xdr:row>
      <xdr:rowOff>137160</xdr:rowOff>
    </xdr:to>
    <xdr:pic>
      <xdr:nvPicPr>
        <xdr:cNvPr id="17" name="Picture 16">
          <a:hlinkClick xmlns:r="http://schemas.openxmlformats.org/officeDocument/2006/relationships" r:id="rId1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3068410"/>
          <a:ext cx="135800" cy="135800"/>
        </a:xfrm>
        <a:prstGeom prst="rect">
          <a:avLst/>
        </a:prstGeom>
      </xdr:spPr>
    </xdr:pic>
    <xdr:clientData fPrintsWithSheet="0"/>
  </xdr:twoCellAnchor>
  <xdr:twoCellAnchor editAs="oneCell">
    <xdr:from>
      <xdr:col>2</xdr:col>
      <xdr:colOff>0</xdr:colOff>
      <xdr:row>44</xdr:row>
      <xdr:rowOff>469</xdr:rowOff>
    </xdr:from>
    <xdr:to>
      <xdr:col>2</xdr:col>
      <xdr:colOff>136221</xdr:colOff>
      <xdr:row>44</xdr:row>
      <xdr:rowOff>136690</xdr:rowOff>
    </xdr:to>
    <xdr:pic>
      <xdr:nvPicPr>
        <xdr:cNvPr id="18" name="Picture 17">
          <a:hlinkClick xmlns:r="http://schemas.openxmlformats.org/officeDocument/2006/relationships" r:id="rId1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229444"/>
          <a:ext cx="136221" cy="136221"/>
        </a:xfrm>
        <a:prstGeom prst="rect">
          <a:avLst/>
        </a:prstGeom>
      </xdr:spPr>
    </xdr:pic>
    <xdr:clientData fPrintsWithSheet="0"/>
  </xdr:twoCellAnchor>
  <xdr:twoCellAnchor editAs="oneCell">
    <xdr:from>
      <xdr:col>2</xdr:col>
      <xdr:colOff>0</xdr:colOff>
      <xdr:row>38</xdr:row>
      <xdr:rowOff>469</xdr:rowOff>
    </xdr:from>
    <xdr:to>
      <xdr:col>2</xdr:col>
      <xdr:colOff>136221</xdr:colOff>
      <xdr:row>38</xdr:row>
      <xdr:rowOff>136690</xdr:rowOff>
    </xdr:to>
    <xdr:pic>
      <xdr:nvPicPr>
        <xdr:cNvPr id="19" name="Picture 18">
          <a:hlinkClick xmlns:r="http://schemas.openxmlformats.org/officeDocument/2006/relationships" r:id="rId1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391369"/>
          <a:ext cx="136221" cy="136221"/>
        </a:xfrm>
        <a:prstGeom prst="rect">
          <a:avLst/>
        </a:prstGeom>
      </xdr:spPr>
    </xdr:pic>
    <xdr:clientData fPrintsWithSheet="0"/>
  </xdr:twoCellAnchor>
  <xdr:twoCellAnchor editAs="oneCell">
    <xdr:from>
      <xdr:col>2</xdr:col>
      <xdr:colOff>0</xdr:colOff>
      <xdr:row>45</xdr:row>
      <xdr:rowOff>469</xdr:rowOff>
    </xdr:from>
    <xdr:to>
      <xdr:col>2</xdr:col>
      <xdr:colOff>136221</xdr:colOff>
      <xdr:row>45</xdr:row>
      <xdr:rowOff>136690</xdr:rowOff>
    </xdr:to>
    <xdr:pic>
      <xdr:nvPicPr>
        <xdr:cNvPr id="20" name="Picture 19">
          <a:hlinkClick xmlns:r="http://schemas.openxmlformats.org/officeDocument/2006/relationships" r:id="rId1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553294"/>
          <a:ext cx="136221" cy="136221"/>
        </a:xfrm>
        <a:prstGeom prst="rect">
          <a:avLst/>
        </a:prstGeom>
      </xdr:spPr>
    </xdr:pic>
    <xdr:clientData fPrintsWithSheet="0"/>
  </xdr:twoCellAnchor>
  <xdr:twoCellAnchor editAs="oneCell">
    <xdr:from>
      <xdr:col>2</xdr:col>
      <xdr:colOff>0</xdr:colOff>
      <xdr:row>24</xdr:row>
      <xdr:rowOff>469</xdr:rowOff>
    </xdr:from>
    <xdr:to>
      <xdr:col>2</xdr:col>
      <xdr:colOff>136221</xdr:colOff>
      <xdr:row>24</xdr:row>
      <xdr:rowOff>136690</xdr:rowOff>
    </xdr:to>
    <xdr:pic>
      <xdr:nvPicPr>
        <xdr:cNvPr id="21" name="Picture 20">
          <a:hlinkClick xmlns:r="http://schemas.openxmlformats.org/officeDocument/2006/relationships" r:id="rId1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3715219"/>
          <a:ext cx="136221" cy="136221"/>
        </a:xfrm>
        <a:prstGeom prst="rect">
          <a:avLst/>
        </a:prstGeom>
      </xdr:spPr>
    </xdr:pic>
    <xdr:clientData fPrintsWithSheet="0"/>
  </xdr:twoCellAnchor>
  <xdr:twoCellAnchor editAs="oneCell">
    <xdr:from>
      <xdr:col>2</xdr:col>
      <xdr:colOff>0</xdr:colOff>
      <xdr:row>49</xdr:row>
      <xdr:rowOff>469</xdr:rowOff>
    </xdr:from>
    <xdr:to>
      <xdr:col>2</xdr:col>
      <xdr:colOff>136221</xdr:colOff>
      <xdr:row>49</xdr:row>
      <xdr:rowOff>136690</xdr:rowOff>
    </xdr:to>
    <xdr:pic>
      <xdr:nvPicPr>
        <xdr:cNvPr id="23" name="Picture 22">
          <a:hlinkClick xmlns:r="http://schemas.openxmlformats.org/officeDocument/2006/relationships" r:id="rId1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4039069"/>
          <a:ext cx="136221" cy="136221"/>
        </a:xfrm>
        <a:prstGeom prst="rect">
          <a:avLst/>
        </a:prstGeom>
      </xdr:spPr>
    </xdr:pic>
    <xdr:clientData fPrintsWithSheet="0"/>
  </xdr:twoCellAnchor>
  <xdr:twoCellAnchor editAs="oneCell">
    <xdr:from>
      <xdr:col>2</xdr:col>
      <xdr:colOff>210</xdr:colOff>
      <xdr:row>50</xdr:row>
      <xdr:rowOff>1360</xdr:rowOff>
    </xdr:from>
    <xdr:to>
      <xdr:col>2</xdr:col>
      <xdr:colOff>136010</xdr:colOff>
      <xdr:row>50</xdr:row>
      <xdr:rowOff>137160</xdr:rowOff>
    </xdr:to>
    <xdr:pic>
      <xdr:nvPicPr>
        <xdr:cNvPr id="24" name="Picture 23">
          <a:hlinkClick xmlns:r="http://schemas.openxmlformats.org/officeDocument/2006/relationships" r:id="rId2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4201885"/>
          <a:ext cx="135800" cy="135800"/>
        </a:xfrm>
        <a:prstGeom prst="rect">
          <a:avLst/>
        </a:prstGeom>
      </xdr:spPr>
    </xdr:pic>
    <xdr:clientData fPrintsWithSheet="0"/>
  </xdr:twoCellAnchor>
  <xdr:twoCellAnchor editAs="oneCell">
    <xdr:from>
      <xdr:col>2</xdr:col>
      <xdr:colOff>0</xdr:colOff>
      <xdr:row>57</xdr:row>
      <xdr:rowOff>469</xdr:rowOff>
    </xdr:from>
    <xdr:to>
      <xdr:col>2</xdr:col>
      <xdr:colOff>136221</xdr:colOff>
      <xdr:row>57</xdr:row>
      <xdr:rowOff>136690</xdr:rowOff>
    </xdr:to>
    <xdr:pic>
      <xdr:nvPicPr>
        <xdr:cNvPr id="26" name="Picture 25">
          <a:hlinkClick xmlns:r="http://schemas.openxmlformats.org/officeDocument/2006/relationships" r:id="rId2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4743919"/>
          <a:ext cx="136221" cy="136221"/>
        </a:xfrm>
        <a:prstGeom prst="rect">
          <a:avLst/>
        </a:prstGeom>
      </xdr:spPr>
    </xdr:pic>
    <xdr:clientData fPrintsWithSheet="0"/>
  </xdr:twoCellAnchor>
  <xdr:twoCellAnchor editAs="oneCell">
    <xdr:from>
      <xdr:col>2</xdr:col>
      <xdr:colOff>0</xdr:colOff>
      <xdr:row>60</xdr:row>
      <xdr:rowOff>469</xdr:rowOff>
    </xdr:from>
    <xdr:to>
      <xdr:col>2</xdr:col>
      <xdr:colOff>136221</xdr:colOff>
      <xdr:row>60</xdr:row>
      <xdr:rowOff>136690</xdr:rowOff>
    </xdr:to>
    <xdr:pic>
      <xdr:nvPicPr>
        <xdr:cNvPr id="28" name="Picture 27">
          <a:hlinkClick xmlns:r="http://schemas.openxmlformats.org/officeDocument/2006/relationships" r:id="rId2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067769"/>
          <a:ext cx="136221" cy="136221"/>
        </a:xfrm>
        <a:prstGeom prst="rect">
          <a:avLst/>
        </a:prstGeom>
      </xdr:spPr>
    </xdr:pic>
    <xdr:clientData fPrintsWithSheet="0"/>
  </xdr:twoCellAnchor>
  <xdr:twoCellAnchor editAs="oneCell">
    <xdr:from>
      <xdr:col>2</xdr:col>
      <xdr:colOff>0</xdr:colOff>
      <xdr:row>82</xdr:row>
      <xdr:rowOff>469</xdr:rowOff>
    </xdr:from>
    <xdr:to>
      <xdr:col>2</xdr:col>
      <xdr:colOff>136221</xdr:colOff>
      <xdr:row>82</xdr:row>
      <xdr:rowOff>136690</xdr:rowOff>
    </xdr:to>
    <xdr:pic>
      <xdr:nvPicPr>
        <xdr:cNvPr id="29" name="Picture 28">
          <a:hlinkClick xmlns:r="http://schemas.openxmlformats.org/officeDocument/2006/relationships" r:id="rId2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229694"/>
          <a:ext cx="136221" cy="136221"/>
        </a:xfrm>
        <a:prstGeom prst="rect">
          <a:avLst/>
        </a:prstGeom>
      </xdr:spPr>
    </xdr:pic>
    <xdr:clientData fPrintsWithSheet="0"/>
  </xdr:twoCellAnchor>
  <xdr:twoCellAnchor editAs="oneCell">
    <xdr:from>
      <xdr:col>2</xdr:col>
      <xdr:colOff>0</xdr:colOff>
      <xdr:row>61</xdr:row>
      <xdr:rowOff>469</xdr:rowOff>
    </xdr:from>
    <xdr:to>
      <xdr:col>2</xdr:col>
      <xdr:colOff>136221</xdr:colOff>
      <xdr:row>61</xdr:row>
      <xdr:rowOff>136690</xdr:rowOff>
    </xdr:to>
    <xdr:pic>
      <xdr:nvPicPr>
        <xdr:cNvPr id="31" name="Picture 30">
          <a:hlinkClick xmlns:r="http://schemas.openxmlformats.org/officeDocument/2006/relationships" r:id="rId2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553544"/>
          <a:ext cx="136221" cy="136221"/>
        </a:xfrm>
        <a:prstGeom prst="rect">
          <a:avLst/>
        </a:prstGeom>
      </xdr:spPr>
    </xdr:pic>
    <xdr:clientData fPrintsWithSheet="0"/>
  </xdr:twoCellAnchor>
  <xdr:twoCellAnchor editAs="oneCell">
    <xdr:from>
      <xdr:col>2</xdr:col>
      <xdr:colOff>210</xdr:colOff>
      <xdr:row>62</xdr:row>
      <xdr:rowOff>1360</xdr:rowOff>
    </xdr:from>
    <xdr:to>
      <xdr:col>2</xdr:col>
      <xdr:colOff>136010</xdr:colOff>
      <xdr:row>62</xdr:row>
      <xdr:rowOff>137160</xdr:rowOff>
    </xdr:to>
    <xdr:pic>
      <xdr:nvPicPr>
        <xdr:cNvPr id="32" name="Picture 31">
          <a:hlinkClick xmlns:r="http://schemas.openxmlformats.org/officeDocument/2006/relationships" r:id="rId2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735" y="5716360"/>
          <a:ext cx="135800" cy="135800"/>
        </a:xfrm>
        <a:prstGeom prst="rect">
          <a:avLst/>
        </a:prstGeom>
      </xdr:spPr>
    </xdr:pic>
    <xdr:clientData fPrintsWithSheet="0"/>
  </xdr:twoCellAnchor>
  <xdr:twoCellAnchor editAs="oneCell">
    <xdr:from>
      <xdr:col>2</xdr:col>
      <xdr:colOff>0</xdr:colOff>
      <xdr:row>63</xdr:row>
      <xdr:rowOff>469</xdr:rowOff>
    </xdr:from>
    <xdr:to>
      <xdr:col>2</xdr:col>
      <xdr:colOff>136221</xdr:colOff>
      <xdr:row>63</xdr:row>
      <xdr:rowOff>136690</xdr:rowOff>
    </xdr:to>
    <xdr:pic>
      <xdr:nvPicPr>
        <xdr:cNvPr id="33" name="Picture 32">
          <a:hlinkClick xmlns:r="http://schemas.openxmlformats.org/officeDocument/2006/relationships" r:id="rId2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5877394"/>
          <a:ext cx="136221" cy="136221"/>
        </a:xfrm>
        <a:prstGeom prst="rect">
          <a:avLst/>
        </a:prstGeom>
      </xdr:spPr>
    </xdr:pic>
    <xdr:clientData fPrintsWithSheet="0"/>
  </xdr:twoCellAnchor>
  <xdr:twoCellAnchor editAs="oneCell">
    <xdr:from>
      <xdr:col>2</xdr:col>
      <xdr:colOff>0</xdr:colOff>
      <xdr:row>64</xdr:row>
      <xdr:rowOff>0</xdr:rowOff>
    </xdr:from>
    <xdr:to>
      <xdr:col>2</xdr:col>
      <xdr:colOff>136221</xdr:colOff>
      <xdr:row>64</xdr:row>
      <xdr:rowOff>136221</xdr:rowOff>
    </xdr:to>
    <xdr:pic>
      <xdr:nvPicPr>
        <xdr:cNvPr id="34" name="Picture 33">
          <a:hlinkClick xmlns:r="http://schemas.openxmlformats.org/officeDocument/2006/relationships" r:id="rId2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6039319"/>
          <a:ext cx="136221" cy="136221"/>
        </a:xfrm>
        <a:prstGeom prst="rect">
          <a:avLst/>
        </a:prstGeom>
      </xdr:spPr>
    </xdr:pic>
    <xdr:clientData fPrintsWithSheet="0"/>
  </xdr:twoCellAnchor>
  <xdr:twoCellAnchor editAs="oneCell">
    <xdr:from>
      <xdr:col>2</xdr:col>
      <xdr:colOff>0</xdr:colOff>
      <xdr:row>64</xdr:row>
      <xdr:rowOff>469</xdr:rowOff>
    </xdr:from>
    <xdr:to>
      <xdr:col>2</xdr:col>
      <xdr:colOff>136221</xdr:colOff>
      <xdr:row>64</xdr:row>
      <xdr:rowOff>136690</xdr:rowOff>
    </xdr:to>
    <xdr:pic>
      <xdr:nvPicPr>
        <xdr:cNvPr id="35" name="Picture 34">
          <a:hlinkClick xmlns:r="http://schemas.openxmlformats.org/officeDocument/2006/relationships" r:id="rId2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6201244"/>
          <a:ext cx="136221" cy="136221"/>
        </a:xfrm>
        <a:prstGeom prst="rect">
          <a:avLst/>
        </a:prstGeom>
      </xdr:spPr>
    </xdr:pic>
    <xdr:clientData fPrintsWithSheet="0"/>
  </xdr:twoCellAnchor>
  <xdr:twoCellAnchor editAs="oneCell">
    <xdr:from>
      <xdr:col>2</xdr:col>
      <xdr:colOff>0</xdr:colOff>
      <xdr:row>72</xdr:row>
      <xdr:rowOff>469</xdr:rowOff>
    </xdr:from>
    <xdr:to>
      <xdr:col>2</xdr:col>
      <xdr:colOff>136221</xdr:colOff>
      <xdr:row>72</xdr:row>
      <xdr:rowOff>136690</xdr:rowOff>
    </xdr:to>
    <xdr:pic>
      <xdr:nvPicPr>
        <xdr:cNvPr id="36" name="Picture 35">
          <a:hlinkClick xmlns:r="http://schemas.openxmlformats.org/officeDocument/2006/relationships" r:id="rId2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134694"/>
          <a:ext cx="136221" cy="136221"/>
        </a:xfrm>
        <a:prstGeom prst="rect">
          <a:avLst/>
        </a:prstGeom>
      </xdr:spPr>
    </xdr:pic>
    <xdr:clientData fPrintsWithSheet="0"/>
  </xdr:twoCellAnchor>
  <xdr:twoCellAnchor editAs="oneCell">
    <xdr:from>
      <xdr:col>2</xdr:col>
      <xdr:colOff>0</xdr:colOff>
      <xdr:row>17</xdr:row>
      <xdr:rowOff>469</xdr:rowOff>
    </xdr:from>
    <xdr:to>
      <xdr:col>2</xdr:col>
      <xdr:colOff>136221</xdr:colOff>
      <xdr:row>17</xdr:row>
      <xdr:rowOff>136690</xdr:rowOff>
    </xdr:to>
    <xdr:pic>
      <xdr:nvPicPr>
        <xdr:cNvPr id="37" name="Picture 36">
          <a:hlinkClick xmlns:r="http://schemas.openxmlformats.org/officeDocument/2006/relationships" r:id="rId3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620469"/>
          <a:ext cx="136221" cy="136221"/>
        </a:xfrm>
        <a:prstGeom prst="rect">
          <a:avLst/>
        </a:prstGeom>
      </xdr:spPr>
    </xdr:pic>
    <xdr:clientData fPrintsWithSheet="0"/>
  </xdr:twoCellAnchor>
  <xdr:twoCellAnchor editAs="oneCell">
    <xdr:from>
      <xdr:col>2</xdr:col>
      <xdr:colOff>0</xdr:colOff>
      <xdr:row>19</xdr:row>
      <xdr:rowOff>469</xdr:rowOff>
    </xdr:from>
    <xdr:to>
      <xdr:col>2</xdr:col>
      <xdr:colOff>136221</xdr:colOff>
      <xdr:row>19</xdr:row>
      <xdr:rowOff>136690</xdr:rowOff>
    </xdr:to>
    <xdr:pic>
      <xdr:nvPicPr>
        <xdr:cNvPr id="38" name="Picture 37">
          <a:hlinkClick xmlns:r="http://schemas.openxmlformats.org/officeDocument/2006/relationships" r:id="rId3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48325" y="2105494"/>
          <a:ext cx="136221" cy="136221"/>
        </a:xfrm>
        <a:prstGeom prst="rect">
          <a:avLst/>
        </a:prstGeom>
      </xdr:spPr>
    </xdr:pic>
    <xdr:clientData fPrintsWithSheet="0"/>
  </xdr:twoCellAnchor>
  <xdr:twoCellAnchor editAs="oneCell">
    <xdr:from>
      <xdr:col>2</xdr:col>
      <xdr:colOff>0</xdr:colOff>
      <xdr:row>103</xdr:row>
      <xdr:rowOff>469</xdr:rowOff>
    </xdr:from>
    <xdr:to>
      <xdr:col>2</xdr:col>
      <xdr:colOff>136221</xdr:colOff>
      <xdr:row>103</xdr:row>
      <xdr:rowOff>136690</xdr:rowOff>
    </xdr:to>
    <xdr:pic>
      <xdr:nvPicPr>
        <xdr:cNvPr id="39" name="Picture 38">
          <a:hlinkClick xmlns:r="http://schemas.openxmlformats.org/officeDocument/2006/relationships" r:id="rId3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197174"/>
          <a:ext cx="136221" cy="136221"/>
        </a:xfrm>
        <a:prstGeom prst="rect">
          <a:avLst/>
        </a:prstGeom>
      </xdr:spPr>
    </xdr:pic>
    <xdr:clientData fPrintsWithSheet="0"/>
  </xdr:twoCellAnchor>
  <xdr:twoCellAnchor editAs="oneCell">
    <xdr:from>
      <xdr:col>2</xdr:col>
      <xdr:colOff>421</xdr:colOff>
      <xdr:row>154</xdr:row>
      <xdr:rowOff>1360</xdr:rowOff>
    </xdr:from>
    <xdr:to>
      <xdr:col>2</xdr:col>
      <xdr:colOff>136221</xdr:colOff>
      <xdr:row>154</xdr:row>
      <xdr:rowOff>137160</xdr:rowOff>
    </xdr:to>
    <xdr:pic>
      <xdr:nvPicPr>
        <xdr:cNvPr id="41" name="Picture 40">
          <a:hlinkClick xmlns:r="http://schemas.openxmlformats.org/officeDocument/2006/relationships" r:id="rId3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2463042"/>
          <a:ext cx="135800" cy="135800"/>
        </a:xfrm>
        <a:prstGeom prst="rect">
          <a:avLst/>
        </a:prstGeom>
      </xdr:spPr>
    </xdr:pic>
    <xdr:clientData fPrintsWithSheet="0"/>
  </xdr:twoCellAnchor>
  <xdr:twoCellAnchor editAs="oneCell">
    <xdr:from>
      <xdr:col>2</xdr:col>
      <xdr:colOff>0</xdr:colOff>
      <xdr:row>109</xdr:row>
      <xdr:rowOff>469</xdr:rowOff>
    </xdr:from>
    <xdr:to>
      <xdr:col>2</xdr:col>
      <xdr:colOff>136221</xdr:colOff>
      <xdr:row>109</xdr:row>
      <xdr:rowOff>136690</xdr:rowOff>
    </xdr:to>
    <xdr:pic>
      <xdr:nvPicPr>
        <xdr:cNvPr id="42" name="Picture 41">
          <a:hlinkClick xmlns:r="http://schemas.openxmlformats.org/officeDocument/2006/relationships" r:id="rId3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175651"/>
          <a:ext cx="136221" cy="136221"/>
        </a:xfrm>
        <a:prstGeom prst="rect">
          <a:avLst/>
        </a:prstGeom>
      </xdr:spPr>
    </xdr:pic>
    <xdr:clientData fPrintsWithSheet="0"/>
  </xdr:twoCellAnchor>
  <xdr:twoCellAnchor editAs="oneCell">
    <xdr:from>
      <xdr:col>2</xdr:col>
      <xdr:colOff>0</xdr:colOff>
      <xdr:row>113</xdr:row>
      <xdr:rowOff>469</xdr:rowOff>
    </xdr:from>
    <xdr:to>
      <xdr:col>2</xdr:col>
      <xdr:colOff>136221</xdr:colOff>
      <xdr:row>113</xdr:row>
      <xdr:rowOff>136690</xdr:rowOff>
    </xdr:to>
    <xdr:pic>
      <xdr:nvPicPr>
        <xdr:cNvPr id="43" name="Picture 42">
          <a:hlinkClick xmlns:r="http://schemas.openxmlformats.org/officeDocument/2006/relationships" r:id="rId3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755810"/>
          <a:ext cx="136221" cy="136221"/>
        </a:xfrm>
        <a:prstGeom prst="rect">
          <a:avLst/>
        </a:prstGeom>
      </xdr:spPr>
    </xdr:pic>
    <xdr:clientData fPrintsWithSheet="0"/>
  </xdr:twoCellAnchor>
  <xdr:twoCellAnchor editAs="oneCell">
    <xdr:from>
      <xdr:col>2</xdr:col>
      <xdr:colOff>421</xdr:colOff>
      <xdr:row>114</xdr:row>
      <xdr:rowOff>1360</xdr:rowOff>
    </xdr:from>
    <xdr:to>
      <xdr:col>2</xdr:col>
      <xdr:colOff>136221</xdr:colOff>
      <xdr:row>114</xdr:row>
      <xdr:rowOff>137160</xdr:rowOff>
    </xdr:to>
    <xdr:pic>
      <xdr:nvPicPr>
        <xdr:cNvPr id="44" name="Picture 43">
          <a:hlinkClick xmlns:r="http://schemas.openxmlformats.org/officeDocument/2006/relationships" r:id="rId3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6921224"/>
          <a:ext cx="135800" cy="135800"/>
        </a:xfrm>
        <a:prstGeom prst="rect">
          <a:avLst/>
        </a:prstGeom>
      </xdr:spPr>
    </xdr:pic>
    <xdr:clientData fPrintsWithSheet="0"/>
  </xdr:twoCellAnchor>
  <xdr:twoCellAnchor editAs="oneCell">
    <xdr:from>
      <xdr:col>2</xdr:col>
      <xdr:colOff>0</xdr:colOff>
      <xdr:row>115</xdr:row>
      <xdr:rowOff>469</xdr:rowOff>
    </xdr:from>
    <xdr:to>
      <xdr:col>2</xdr:col>
      <xdr:colOff>136221</xdr:colOff>
      <xdr:row>115</xdr:row>
      <xdr:rowOff>136690</xdr:rowOff>
    </xdr:to>
    <xdr:pic>
      <xdr:nvPicPr>
        <xdr:cNvPr id="45" name="Picture 44">
          <a:hlinkClick xmlns:r="http://schemas.openxmlformats.org/officeDocument/2006/relationships" r:id="rId3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084855"/>
          <a:ext cx="136221" cy="136221"/>
        </a:xfrm>
        <a:prstGeom prst="rect">
          <a:avLst/>
        </a:prstGeom>
      </xdr:spPr>
    </xdr:pic>
    <xdr:clientData fPrintsWithSheet="0"/>
  </xdr:twoCellAnchor>
  <xdr:twoCellAnchor editAs="oneCell">
    <xdr:from>
      <xdr:col>2</xdr:col>
      <xdr:colOff>0</xdr:colOff>
      <xdr:row>116</xdr:row>
      <xdr:rowOff>469</xdr:rowOff>
    </xdr:from>
    <xdr:to>
      <xdr:col>2</xdr:col>
      <xdr:colOff>136221</xdr:colOff>
      <xdr:row>116</xdr:row>
      <xdr:rowOff>136690</xdr:rowOff>
    </xdr:to>
    <xdr:pic>
      <xdr:nvPicPr>
        <xdr:cNvPr id="46" name="Picture 45">
          <a:hlinkClick xmlns:r="http://schemas.openxmlformats.org/officeDocument/2006/relationships" r:id="rId3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249378"/>
          <a:ext cx="136221" cy="136221"/>
        </a:xfrm>
        <a:prstGeom prst="rect">
          <a:avLst/>
        </a:prstGeom>
      </xdr:spPr>
    </xdr:pic>
    <xdr:clientData fPrintsWithSheet="0"/>
  </xdr:twoCellAnchor>
  <xdr:twoCellAnchor editAs="oneCell">
    <xdr:from>
      <xdr:col>2</xdr:col>
      <xdr:colOff>0</xdr:colOff>
      <xdr:row>118</xdr:row>
      <xdr:rowOff>469</xdr:rowOff>
    </xdr:from>
    <xdr:to>
      <xdr:col>2</xdr:col>
      <xdr:colOff>136221</xdr:colOff>
      <xdr:row>118</xdr:row>
      <xdr:rowOff>136690</xdr:rowOff>
    </xdr:to>
    <xdr:pic>
      <xdr:nvPicPr>
        <xdr:cNvPr id="47" name="Picture 46">
          <a:hlinkClick xmlns:r="http://schemas.openxmlformats.org/officeDocument/2006/relationships" r:id="rId3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578424"/>
          <a:ext cx="136221" cy="136221"/>
        </a:xfrm>
        <a:prstGeom prst="rect">
          <a:avLst/>
        </a:prstGeom>
      </xdr:spPr>
    </xdr:pic>
    <xdr:clientData fPrintsWithSheet="0"/>
  </xdr:twoCellAnchor>
  <xdr:twoCellAnchor editAs="oneCell">
    <xdr:from>
      <xdr:col>2</xdr:col>
      <xdr:colOff>0</xdr:colOff>
      <xdr:row>119</xdr:row>
      <xdr:rowOff>469</xdr:rowOff>
    </xdr:from>
    <xdr:to>
      <xdr:col>2</xdr:col>
      <xdr:colOff>136221</xdr:colOff>
      <xdr:row>119</xdr:row>
      <xdr:rowOff>136690</xdr:rowOff>
    </xdr:to>
    <xdr:pic>
      <xdr:nvPicPr>
        <xdr:cNvPr id="48" name="Picture 47">
          <a:hlinkClick xmlns:r="http://schemas.openxmlformats.org/officeDocument/2006/relationships" r:id="rId4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742946"/>
          <a:ext cx="136221" cy="136221"/>
        </a:xfrm>
        <a:prstGeom prst="rect">
          <a:avLst/>
        </a:prstGeom>
      </xdr:spPr>
    </xdr:pic>
    <xdr:clientData fPrintsWithSheet="0"/>
  </xdr:twoCellAnchor>
  <xdr:twoCellAnchor editAs="oneCell">
    <xdr:from>
      <xdr:col>2</xdr:col>
      <xdr:colOff>0</xdr:colOff>
      <xdr:row>120</xdr:row>
      <xdr:rowOff>469</xdr:rowOff>
    </xdr:from>
    <xdr:to>
      <xdr:col>2</xdr:col>
      <xdr:colOff>136221</xdr:colOff>
      <xdr:row>120</xdr:row>
      <xdr:rowOff>136690</xdr:rowOff>
    </xdr:to>
    <xdr:pic>
      <xdr:nvPicPr>
        <xdr:cNvPr id="49" name="Picture 48">
          <a:hlinkClick xmlns:r="http://schemas.openxmlformats.org/officeDocument/2006/relationships" r:id="rId4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7907469"/>
          <a:ext cx="136221" cy="136221"/>
        </a:xfrm>
        <a:prstGeom prst="rect">
          <a:avLst/>
        </a:prstGeom>
      </xdr:spPr>
    </xdr:pic>
    <xdr:clientData fPrintsWithSheet="0"/>
  </xdr:twoCellAnchor>
  <xdr:twoCellAnchor editAs="oneCell">
    <xdr:from>
      <xdr:col>2</xdr:col>
      <xdr:colOff>0</xdr:colOff>
      <xdr:row>121</xdr:row>
      <xdr:rowOff>469</xdr:rowOff>
    </xdr:from>
    <xdr:to>
      <xdr:col>2</xdr:col>
      <xdr:colOff>136221</xdr:colOff>
      <xdr:row>121</xdr:row>
      <xdr:rowOff>136690</xdr:rowOff>
    </xdr:to>
    <xdr:pic>
      <xdr:nvPicPr>
        <xdr:cNvPr id="50" name="Picture 49">
          <a:hlinkClick xmlns:r="http://schemas.openxmlformats.org/officeDocument/2006/relationships" r:id="rId4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071992"/>
          <a:ext cx="136221" cy="136221"/>
        </a:xfrm>
        <a:prstGeom prst="rect">
          <a:avLst/>
        </a:prstGeom>
      </xdr:spPr>
    </xdr:pic>
    <xdr:clientData fPrintsWithSheet="0"/>
  </xdr:twoCellAnchor>
  <xdr:twoCellAnchor editAs="oneCell">
    <xdr:from>
      <xdr:col>2</xdr:col>
      <xdr:colOff>421</xdr:colOff>
      <xdr:row>117</xdr:row>
      <xdr:rowOff>1360</xdr:rowOff>
    </xdr:from>
    <xdr:to>
      <xdr:col>2</xdr:col>
      <xdr:colOff>136221</xdr:colOff>
      <xdr:row>117</xdr:row>
      <xdr:rowOff>137160</xdr:rowOff>
    </xdr:to>
    <xdr:pic>
      <xdr:nvPicPr>
        <xdr:cNvPr id="51" name="Picture 50">
          <a:hlinkClick xmlns:r="http://schemas.openxmlformats.org/officeDocument/2006/relationships" r:id="rId4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7414792"/>
          <a:ext cx="135800" cy="135800"/>
        </a:xfrm>
        <a:prstGeom prst="rect">
          <a:avLst/>
        </a:prstGeom>
      </xdr:spPr>
    </xdr:pic>
    <xdr:clientData fPrintsWithSheet="0"/>
  </xdr:twoCellAnchor>
  <xdr:twoCellAnchor editAs="oneCell">
    <xdr:from>
      <xdr:col>2</xdr:col>
      <xdr:colOff>0</xdr:colOff>
      <xdr:row>122</xdr:row>
      <xdr:rowOff>469</xdr:rowOff>
    </xdr:from>
    <xdr:to>
      <xdr:col>2</xdr:col>
      <xdr:colOff>136221</xdr:colOff>
      <xdr:row>122</xdr:row>
      <xdr:rowOff>136690</xdr:rowOff>
    </xdr:to>
    <xdr:pic>
      <xdr:nvPicPr>
        <xdr:cNvPr id="52" name="Picture 51">
          <a:hlinkClick xmlns:r="http://schemas.openxmlformats.org/officeDocument/2006/relationships" r:id="rId4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236514"/>
          <a:ext cx="136221" cy="136221"/>
        </a:xfrm>
        <a:prstGeom prst="rect">
          <a:avLst/>
        </a:prstGeom>
      </xdr:spPr>
    </xdr:pic>
    <xdr:clientData fPrintsWithSheet="0"/>
  </xdr:twoCellAnchor>
  <xdr:twoCellAnchor editAs="oneCell">
    <xdr:from>
      <xdr:col>2</xdr:col>
      <xdr:colOff>0</xdr:colOff>
      <xdr:row>127</xdr:row>
      <xdr:rowOff>469</xdr:rowOff>
    </xdr:from>
    <xdr:to>
      <xdr:col>2</xdr:col>
      <xdr:colOff>136221</xdr:colOff>
      <xdr:row>127</xdr:row>
      <xdr:rowOff>136690</xdr:rowOff>
    </xdr:to>
    <xdr:pic>
      <xdr:nvPicPr>
        <xdr:cNvPr id="53" name="Picture 52">
          <a:hlinkClick xmlns:r="http://schemas.openxmlformats.org/officeDocument/2006/relationships" r:id="rId4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972537"/>
          <a:ext cx="136221" cy="136221"/>
        </a:xfrm>
        <a:prstGeom prst="rect">
          <a:avLst/>
        </a:prstGeom>
      </xdr:spPr>
    </xdr:pic>
    <xdr:clientData fPrintsWithSheet="0"/>
  </xdr:twoCellAnchor>
  <xdr:twoCellAnchor editAs="oneCell">
    <xdr:from>
      <xdr:col>2</xdr:col>
      <xdr:colOff>421</xdr:colOff>
      <xdr:row>128</xdr:row>
      <xdr:rowOff>1360</xdr:rowOff>
    </xdr:from>
    <xdr:to>
      <xdr:col>2</xdr:col>
      <xdr:colOff>136221</xdr:colOff>
      <xdr:row>128</xdr:row>
      <xdr:rowOff>137160</xdr:rowOff>
    </xdr:to>
    <xdr:pic>
      <xdr:nvPicPr>
        <xdr:cNvPr id="54" name="Picture 53">
          <a:hlinkClick xmlns:r="http://schemas.openxmlformats.org/officeDocument/2006/relationships" r:id="rId4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19137951"/>
          <a:ext cx="135800" cy="135800"/>
        </a:xfrm>
        <a:prstGeom prst="rect">
          <a:avLst/>
        </a:prstGeom>
      </xdr:spPr>
    </xdr:pic>
    <xdr:clientData fPrintsWithSheet="0"/>
  </xdr:twoCellAnchor>
  <xdr:twoCellAnchor editAs="oneCell">
    <xdr:from>
      <xdr:col>2</xdr:col>
      <xdr:colOff>0</xdr:colOff>
      <xdr:row>129</xdr:row>
      <xdr:rowOff>469</xdr:rowOff>
    </xdr:from>
    <xdr:to>
      <xdr:col>2</xdr:col>
      <xdr:colOff>136221</xdr:colOff>
      <xdr:row>129</xdr:row>
      <xdr:rowOff>136690</xdr:rowOff>
    </xdr:to>
    <xdr:pic>
      <xdr:nvPicPr>
        <xdr:cNvPr id="55" name="Picture 54">
          <a:hlinkClick xmlns:r="http://schemas.openxmlformats.org/officeDocument/2006/relationships" r:id="rId4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301583"/>
          <a:ext cx="136221" cy="136221"/>
        </a:xfrm>
        <a:prstGeom prst="rect">
          <a:avLst/>
        </a:prstGeom>
      </xdr:spPr>
    </xdr:pic>
    <xdr:clientData fPrintsWithSheet="0"/>
  </xdr:twoCellAnchor>
  <xdr:twoCellAnchor editAs="oneCell">
    <xdr:from>
      <xdr:col>2</xdr:col>
      <xdr:colOff>0</xdr:colOff>
      <xdr:row>130</xdr:row>
      <xdr:rowOff>469</xdr:rowOff>
    </xdr:from>
    <xdr:to>
      <xdr:col>2</xdr:col>
      <xdr:colOff>136221</xdr:colOff>
      <xdr:row>130</xdr:row>
      <xdr:rowOff>136690</xdr:rowOff>
    </xdr:to>
    <xdr:pic>
      <xdr:nvPicPr>
        <xdr:cNvPr id="56" name="Picture 55">
          <a:hlinkClick xmlns:r="http://schemas.openxmlformats.org/officeDocument/2006/relationships" r:id="rId4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466105"/>
          <a:ext cx="136221" cy="136221"/>
        </a:xfrm>
        <a:prstGeom prst="rect">
          <a:avLst/>
        </a:prstGeom>
      </xdr:spPr>
    </xdr:pic>
    <xdr:clientData fPrintsWithSheet="0"/>
  </xdr:twoCellAnchor>
  <xdr:twoCellAnchor editAs="oneCell">
    <xdr:from>
      <xdr:col>2</xdr:col>
      <xdr:colOff>0</xdr:colOff>
      <xdr:row>152</xdr:row>
      <xdr:rowOff>469</xdr:rowOff>
    </xdr:from>
    <xdr:to>
      <xdr:col>2</xdr:col>
      <xdr:colOff>136221</xdr:colOff>
      <xdr:row>152</xdr:row>
      <xdr:rowOff>136690</xdr:rowOff>
    </xdr:to>
    <xdr:pic>
      <xdr:nvPicPr>
        <xdr:cNvPr id="57" name="Picture 56">
          <a:hlinkClick xmlns:r="http://schemas.openxmlformats.org/officeDocument/2006/relationships" r:id="rId4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2141764"/>
          <a:ext cx="136221" cy="136221"/>
        </a:xfrm>
        <a:prstGeom prst="rect">
          <a:avLst/>
        </a:prstGeom>
      </xdr:spPr>
    </xdr:pic>
    <xdr:clientData fPrintsWithSheet="0"/>
  </xdr:twoCellAnchor>
  <xdr:twoCellAnchor editAs="oneCell">
    <xdr:from>
      <xdr:col>2</xdr:col>
      <xdr:colOff>0</xdr:colOff>
      <xdr:row>132</xdr:row>
      <xdr:rowOff>469</xdr:rowOff>
    </xdr:from>
    <xdr:to>
      <xdr:col>2</xdr:col>
      <xdr:colOff>136221</xdr:colOff>
      <xdr:row>132</xdr:row>
      <xdr:rowOff>136690</xdr:rowOff>
    </xdr:to>
    <xdr:pic>
      <xdr:nvPicPr>
        <xdr:cNvPr id="58" name="Picture 57">
          <a:hlinkClick xmlns:r="http://schemas.openxmlformats.org/officeDocument/2006/relationships" r:id="rId5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795151"/>
          <a:ext cx="136221" cy="136221"/>
        </a:xfrm>
        <a:prstGeom prst="rect">
          <a:avLst/>
        </a:prstGeom>
      </xdr:spPr>
    </xdr:pic>
    <xdr:clientData fPrintsWithSheet="0"/>
  </xdr:twoCellAnchor>
  <xdr:twoCellAnchor editAs="oneCell">
    <xdr:from>
      <xdr:col>2</xdr:col>
      <xdr:colOff>0</xdr:colOff>
      <xdr:row>133</xdr:row>
      <xdr:rowOff>469</xdr:rowOff>
    </xdr:from>
    <xdr:to>
      <xdr:col>2</xdr:col>
      <xdr:colOff>136221</xdr:colOff>
      <xdr:row>133</xdr:row>
      <xdr:rowOff>136690</xdr:rowOff>
    </xdr:to>
    <xdr:pic>
      <xdr:nvPicPr>
        <xdr:cNvPr id="59" name="Picture 58">
          <a:hlinkClick xmlns:r="http://schemas.openxmlformats.org/officeDocument/2006/relationships" r:id="rId5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959674"/>
          <a:ext cx="136221" cy="136221"/>
        </a:xfrm>
        <a:prstGeom prst="rect">
          <a:avLst/>
        </a:prstGeom>
      </xdr:spPr>
    </xdr:pic>
    <xdr:clientData fPrintsWithSheet="0"/>
  </xdr:twoCellAnchor>
  <xdr:twoCellAnchor editAs="oneCell">
    <xdr:from>
      <xdr:col>2</xdr:col>
      <xdr:colOff>0</xdr:colOff>
      <xdr:row>140</xdr:row>
      <xdr:rowOff>469</xdr:rowOff>
    </xdr:from>
    <xdr:to>
      <xdr:col>2</xdr:col>
      <xdr:colOff>136221</xdr:colOff>
      <xdr:row>140</xdr:row>
      <xdr:rowOff>136690</xdr:rowOff>
    </xdr:to>
    <xdr:pic>
      <xdr:nvPicPr>
        <xdr:cNvPr id="60" name="Picture 59">
          <a:hlinkClick xmlns:r="http://schemas.openxmlformats.org/officeDocument/2006/relationships" r:id="rId5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0964128"/>
          <a:ext cx="136221" cy="136221"/>
        </a:xfrm>
        <a:prstGeom prst="rect">
          <a:avLst/>
        </a:prstGeom>
      </xdr:spPr>
    </xdr:pic>
    <xdr:clientData fPrintsWithSheet="0"/>
  </xdr:twoCellAnchor>
  <xdr:twoCellAnchor editAs="oneCell">
    <xdr:from>
      <xdr:col>2</xdr:col>
      <xdr:colOff>0</xdr:colOff>
      <xdr:row>108</xdr:row>
      <xdr:rowOff>469</xdr:rowOff>
    </xdr:from>
    <xdr:to>
      <xdr:col>2</xdr:col>
      <xdr:colOff>136221</xdr:colOff>
      <xdr:row>108</xdr:row>
      <xdr:rowOff>136690</xdr:rowOff>
    </xdr:to>
    <xdr:pic>
      <xdr:nvPicPr>
        <xdr:cNvPr id="61" name="Picture 60">
          <a:hlinkClick xmlns:r="http://schemas.openxmlformats.org/officeDocument/2006/relationships" r:id="rId5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6019787"/>
          <a:ext cx="136221" cy="136221"/>
        </a:xfrm>
        <a:prstGeom prst="rect">
          <a:avLst/>
        </a:prstGeom>
      </xdr:spPr>
    </xdr:pic>
    <xdr:clientData fPrintsWithSheet="0"/>
  </xdr:twoCellAnchor>
  <xdr:twoCellAnchor editAs="oneCell">
    <xdr:from>
      <xdr:col>2</xdr:col>
      <xdr:colOff>421</xdr:colOff>
      <xdr:row>163</xdr:row>
      <xdr:rowOff>1360</xdr:rowOff>
    </xdr:from>
    <xdr:to>
      <xdr:col>2</xdr:col>
      <xdr:colOff>136221</xdr:colOff>
      <xdr:row>163</xdr:row>
      <xdr:rowOff>137160</xdr:rowOff>
    </xdr:to>
    <xdr:pic>
      <xdr:nvPicPr>
        <xdr:cNvPr id="62" name="Picture 61">
          <a:hlinkClick xmlns:r="http://schemas.openxmlformats.org/officeDocument/2006/relationships" r:id="rId5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3372246"/>
          <a:ext cx="135800" cy="135800"/>
        </a:xfrm>
        <a:prstGeom prst="rect">
          <a:avLst/>
        </a:prstGeom>
      </xdr:spPr>
    </xdr:pic>
    <xdr:clientData fPrintsWithSheet="0"/>
  </xdr:twoCellAnchor>
  <xdr:twoCellAnchor editAs="oneCell">
    <xdr:from>
      <xdr:col>2</xdr:col>
      <xdr:colOff>0</xdr:colOff>
      <xdr:row>164</xdr:row>
      <xdr:rowOff>469</xdr:rowOff>
    </xdr:from>
    <xdr:to>
      <xdr:col>2</xdr:col>
      <xdr:colOff>136221</xdr:colOff>
      <xdr:row>164</xdr:row>
      <xdr:rowOff>136690</xdr:rowOff>
    </xdr:to>
    <xdr:pic>
      <xdr:nvPicPr>
        <xdr:cNvPr id="63" name="Picture 62">
          <a:hlinkClick xmlns:r="http://schemas.openxmlformats.org/officeDocument/2006/relationships" r:id="rId5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535878"/>
          <a:ext cx="136221" cy="136221"/>
        </a:xfrm>
        <a:prstGeom prst="rect">
          <a:avLst/>
        </a:prstGeom>
      </xdr:spPr>
    </xdr:pic>
    <xdr:clientData fPrintsWithSheet="0"/>
  </xdr:twoCellAnchor>
  <xdr:twoCellAnchor editAs="oneCell">
    <xdr:from>
      <xdr:col>2</xdr:col>
      <xdr:colOff>0</xdr:colOff>
      <xdr:row>165</xdr:row>
      <xdr:rowOff>469</xdr:rowOff>
    </xdr:from>
    <xdr:to>
      <xdr:col>2</xdr:col>
      <xdr:colOff>136221</xdr:colOff>
      <xdr:row>165</xdr:row>
      <xdr:rowOff>136690</xdr:rowOff>
    </xdr:to>
    <xdr:pic>
      <xdr:nvPicPr>
        <xdr:cNvPr id="64" name="Picture 63">
          <a:hlinkClick xmlns:r="http://schemas.openxmlformats.org/officeDocument/2006/relationships" r:id="rId5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700401"/>
          <a:ext cx="136221" cy="136221"/>
        </a:xfrm>
        <a:prstGeom prst="rect">
          <a:avLst/>
        </a:prstGeom>
      </xdr:spPr>
    </xdr:pic>
    <xdr:clientData fPrintsWithSheet="0"/>
  </xdr:twoCellAnchor>
  <xdr:twoCellAnchor editAs="oneCell">
    <xdr:from>
      <xdr:col>2</xdr:col>
      <xdr:colOff>0</xdr:colOff>
      <xdr:row>168</xdr:row>
      <xdr:rowOff>469</xdr:rowOff>
    </xdr:from>
    <xdr:to>
      <xdr:col>2</xdr:col>
      <xdr:colOff>136221</xdr:colOff>
      <xdr:row>168</xdr:row>
      <xdr:rowOff>136690</xdr:rowOff>
    </xdr:to>
    <xdr:pic>
      <xdr:nvPicPr>
        <xdr:cNvPr id="65" name="Picture 64">
          <a:hlinkClick xmlns:r="http://schemas.openxmlformats.org/officeDocument/2006/relationships" r:id="rId5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193969"/>
          <a:ext cx="136221" cy="136221"/>
        </a:xfrm>
        <a:prstGeom prst="rect">
          <a:avLst/>
        </a:prstGeom>
      </xdr:spPr>
    </xdr:pic>
    <xdr:clientData fPrintsWithSheet="0"/>
  </xdr:twoCellAnchor>
  <xdr:twoCellAnchor editAs="oneCell">
    <xdr:from>
      <xdr:col>2</xdr:col>
      <xdr:colOff>0</xdr:colOff>
      <xdr:row>172</xdr:row>
      <xdr:rowOff>469</xdr:rowOff>
    </xdr:from>
    <xdr:to>
      <xdr:col>2</xdr:col>
      <xdr:colOff>136221</xdr:colOff>
      <xdr:row>172</xdr:row>
      <xdr:rowOff>136690</xdr:rowOff>
    </xdr:to>
    <xdr:pic>
      <xdr:nvPicPr>
        <xdr:cNvPr id="66" name="Picture 65">
          <a:hlinkClick xmlns:r="http://schemas.openxmlformats.org/officeDocument/2006/relationships" r:id="rId5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704855"/>
          <a:ext cx="136221" cy="136221"/>
        </a:xfrm>
        <a:prstGeom prst="rect">
          <a:avLst/>
        </a:prstGeom>
      </xdr:spPr>
    </xdr:pic>
    <xdr:clientData fPrintsWithSheet="0"/>
  </xdr:twoCellAnchor>
  <xdr:twoCellAnchor editAs="oneCell">
    <xdr:from>
      <xdr:col>2</xdr:col>
      <xdr:colOff>0</xdr:colOff>
      <xdr:row>173</xdr:row>
      <xdr:rowOff>469</xdr:rowOff>
    </xdr:from>
    <xdr:to>
      <xdr:col>2</xdr:col>
      <xdr:colOff>136221</xdr:colOff>
      <xdr:row>173</xdr:row>
      <xdr:rowOff>136690</xdr:rowOff>
    </xdr:to>
    <xdr:pic>
      <xdr:nvPicPr>
        <xdr:cNvPr id="67" name="Picture 66">
          <a:hlinkClick xmlns:r="http://schemas.openxmlformats.org/officeDocument/2006/relationships" r:id="rId5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869378"/>
          <a:ext cx="136221" cy="136221"/>
        </a:xfrm>
        <a:prstGeom prst="rect">
          <a:avLst/>
        </a:prstGeom>
      </xdr:spPr>
    </xdr:pic>
    <xdr:clientData fPrintsWithSheet="0"/>
  </xdr:twoCellAnchor>
  <xdr:twoCellAnchor editAs="oneCell">
    <xdr:from>
      <xdr:col>2</xdr:col>
      <xdr:colOff>421</xdr:colOff>
      <xdr:row>174</xdr:row>
      <xdr:rowOff>1360</xdr:rowOff>
    </xdr:from>
    <xdr:to>
      <xdr:col>2</xdr:col>
      <xdr:colOff>136221</xdr:colOff>
      <xdr:row>174</xdr:row>
      <xdr:rowOff>137160</xdr:rowOff>
    </xdr:to>
    <xdr:pic>
      <xdr:nvPicPr>
        <xdr:cNvPr id="68" name="Picture 67">
          <a:hlinkClick xmlns:r="http://schemas.openxmlformats.org/officeDocument/2006/relationships" r:id="rId6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5034792"/>
          <a:ext cx="135800" cy="135800"/>
        </a:xfrm>
        <a:prstGeom prst="rect">
          <a:avLst/>
        </a:prstGeom>
      </xdr:spPr>
    </xdr:pic>
    <xdr:clientData fPrintsWithSheet="0"/>
  </xdr:twoCellAnchor>
  <xdr:twoCellAnchor editAs="oneCell">
    <xdr:from>
      <xdr:col>2</xdr:col>
      <xdr:colOff>0</xdr:colOff>
      <xdr:row>175</xdr:row>
      <xdr:rowOff>469</xdr:rowOff>
    </xdr:from>
    <xdr:to>
      <xdr:col>2</xdr:col>
      <xdr:colOff>136221</xdr:colOff>
      <xdr:row>175</xdr:row>
      <xdr:rowOff>136690</xdr:rowOff>
    </xdr:to>
    <xdr:pic>
      <xdr:nvPicPr>
        <xdr:cNvPr id="69" name="Picture 68">
          <a:hlinkClick xmlns:r="http://schemas.openxmlformats.org/officeDocument/2006/relationships" r:id="rId6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198424"/>
          <a:ext cx="136221" cy="136221"/>
        </a:xfrm>
        <a:prstGeom prst="rect">
          <a:avLst/>
        </a:prstGeom>
      </xdr:spPr>
    </xdr:pic>
    <xdr:clientData fPrintsWithSheet="0"/>
  </xdr:twoCellAnchor>
  <xdr:twoCellAnchor editAs="oneCell">
    <xdr:from>
      <xdr:col>2</xdr:col>
      <xdr:colOff>0</xdr:colOff>
      <xdr:row>186</xdr:row>
      <xdr:rowOff>469</xdr:rowOff>
    </xdr:from>
    <xdr:to>
      <xdr:col>2</xdr:col>
      <xdr:colOff>136221</xdr:colOff>
      <xdr:row>186</xdr:row>
      <xdr:rowOff>136690</xdr:rowOff>
    </xdr:to>
    <xdr:pic>
      <xdr:nvPicPr>
        <xdr:cNvPr id="70" name="Picture 69">
          <a:hlinkClick xmlns:r="http://schemas.openxmlformats.org/officeDocument/2006/relationships" r:id="rId6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008174"/>
          <a:ext cx="136221" cy="136221"/>
        </a:xfrm>
        <a:prstGeom prst="rect">
          <a:avLst/>
        </a:prstGeom>
      </xdr:spPr>
    </xdr:pic>
    <xdr:clientData fPrintsWithSheet="0"/>
  </xdr:twoCellAnchor>
  <xdr:twoCellAnchor editAs="oneCell">
    <xdr:from>
      <xdr:col>2</xdr:col>
      <xdr:colOff>0</xdr:colOff>
      <xdr:row>187</xdr:row>
      <xdr:rowOff>469</xdr:rowOff>
    </xdr:from>
    <xdr:to>
      <xdr:col>2</xdr:col>
      <xdr:colOff>136221</xdr:colOff>
      <xdr:row>187</xdr:row>
      <xdr:rowOff>136690</xdr:rowOff>
    </xdr:to>
    <xdr:pic>
      <xdr:nvPicPr>
        <xdr:cNvPr id="71" name="Picture 70">
          <a:hlinkClick xmlns:r="http://schemas.openxmlformats.org/officeDocument/2006/relationships" r:id="rId6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172696"/>
          <a:ext cx="136221" cy="136221"/>
        </a:xfrm>
        <a:prstGeom prst="rect">
          <a:avLst/>
        </a:prstGeom>
      </xdr:spPr>
    </xdr:pic>
    <xdr:clientData fPrintsWithSheet="0"/>
  </xdr:twoCellAnchor>
  <xdr:twoCellAnchor editAs="oneCell">
    <xdr:from>
      <xdr:col>2</xdr:col>
      <xdr:colOff>0</xdr:colOff>
      <xdr:row>188</xdr:row>
      <xdr:rowOff>469</xdr:rowOff>
    </xdr:from>
    <xdr:to>
      <xdr:col>2</xdr:col>
      <xdr:colOff>136221</xdr:colOff>
      <xdr:row>188</xdr:row>
      <xdr:rowOff>136690</xdr:rowOff>
    </xdr:to>
    <xdr:pic>
      <xdr:nvPicPr>
        <xdr:cNvPr id="72" name="Picture 71">
          <a:hlinkClick xmlns:r="http://schemas.openxmlformats.org/officeDocument/2006/relationships" r:id="rId6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337219"/>
          <a:ext cx="136221" cy="136221"/>
        </a:xfrm>
        <a:prstGeom prst="rect">
          <a:avLst/>
        </a:prstGeom>
      </xdr:spPr>
    </xdr:pic>
    <xdr:clientData fPrintsWithSheet="0"/>
  </xdr:twoCellAnchor>
  <xdr:twoCellAnchor editAs="oneCell">
    <xdr:from>
      <xdr:col>2</xdr:col>
      <xdr:colOff>0</xdr:colOff>
      <xdr:row>190</xdr:row>
      <xdr:rowOff>469</xdr:rowOff>
    </xdr:from>
    <xdr:to>
      <xdr:col>2</xdr:col>
      <xdr:colOff>136221</xdr:colOff>
      <xdr:row>190</xdr:row>
      <xdr:rowOff>136690</xdr:rowOff>
    </xdr:to>
    <xdr:pic>
      <xdr:nvPicPr>
        <xdr:cNvPr id="73" name="Picture 72">
          <a:hlinkClick xmlns:r="http://schemas.openxmlformats.org/officeDocument/2006/relationships" r:id="rId6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666264"/>
          <a:ext cx="136221" cy="136221"/>
        </a:xfrm>
        <a:prstGeom prst="rect">
          <a:avLst/>
        </a:prstGeom>
      </xdr:spPr>
    </xdr:pic>
    <xdr:clientData fPrintsWithSheet="0"/>
  </xdr:twoCellAnchor>
  <xdr:twoCellAnchor editAs="oneCell">
    <xdr:from>
      <xdr:col>2</xdr:col>
      <xdr:colOff>0</xdr:colOff>
      <xdr:row>191</xdr:row>
      <xdr:rowOff>469</xdr:rowOff>
    </xdr:from>
    <xdr:to>
      <xdr:col>2</xdr:col>
      <xdr:colOff>136221</xdr:colOff>
      <xdr:row>191</xdr:row>
      <xdr:rowOff>136690</xdr:rowOff>
    </xdr:to>
    <xdr:pic>
      <xdr:nvPicPr>
        <xdr:cNvPr id="74" name="Picture 73">
          <a:hlinkClick xmlns:r="http://schemas.openxmlformats.org/officeDocument/2006/relationships" r:id="rId6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830787"/>
          <a:ext cx="136221" cy="136221"/>
        </a:xfrm>
        <a:prstGeom prst="rect">
          <a:avLst/>
        </a:prstGeom>
      </xdr:spPr>
    </xdr:pic>
    <xdr:clientData fPrintsWithSheet="0"/>
  </xdr:twoCellAnchor>
  <xdr:twoCellAnchor editAs="oneCell">
    <xdr:from>
      <xdr:col>2</xdr:col>
      <xdr:colOff>421</xdr:colOff>
      <xdr:row>197</xdr:row>
      <xdr:rowOff>1360</xdr:rowOff>
    </xdr:from>
    <xdr:to>
      <xdr:col>2</xdr:col>
      <xdr:colOff>136221</xdr:colOff>
      <xdr:row>197</xdr:row>
      <xdr:rowOff>137160</xdr:rowOff>
    </xdr:to>
    <xdr:pic>
      <xdr:nvPicPr>
        <xdr:cNvPr id="76" name="Picture 75">
          <a:hlinkClick xmlns:r="http://schemas.openxmlformats.org/officeDocument/2006/relationships" r:id="rId6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8325246"/>
          <a:ext cx="135800" cy="135800"/>
        </a:xfrm>
        <a:prstGeom prst="rect">
          <a:avLst/>
        </a:prstGeom>
      </xdr:spPr>
    </xdr:pic>
    <xdr:clientData fPrintsWithSheet="0"/>
  </xdr:twoCellAnchor>
  <xdr:twoCellAnchor editAs="oneCell">
    <xdr:from>
      <xdr:col>2</xdr:col>
      <xdr:colOff>0</xdr:colOff>
      <xdr:row>198</xdr:row>
      <xdr:rowOff>469</xdr:rowOff>
    </xdr:from>
    <xdr:to>
      <xdr:col>2</xdr:col>
      <xdr:colOff>136221</xdr:colOff>
      <xdr:row>198</xdr:row>
      <xdr:rowOff>136690</xdr:rowOff>
    </xdr:to>
    <xdr:pic>
      <xdr:nvPicPr>
        <xdr:cNvPr id="77" name="Picture 76">
          <a:hlinkClick xmlns:r="http://schemas.openxmlformats.org/officeDocument/2006/relationships" r:id="rId6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8488878"/>
          <a:ext cx="136221" cy="136221"/>
        </a:xfrm>
        <a:prstGeom prst="rect">
          <a:avLst/>
        </a:prstGeom>
      </xdr:spPr>
    </xdr:pic>
    <xdr:clientData fPrintsWithSheet="0"/>
  </xdr:twoCellAnchor>
  <xdr:twoCellAnchor editAs="oneCell">
    <xdr:from>
      <xdr:col>2</xdr:col>
      <xdr:colOff>0</xdr:colOff>
      <xdr:row>73</xdr:row>
      <xdr:rowOff>469</xdr:rowOff>
    </xdr:from>
    <xdr:to>
      <xdr:col>2</xdr:col>
      <xdr:colOff>136221</xdr:colOff>
      <xdr:row>73</xdr:row>
      <xdr:rowOff>136690</xdr:rowOff>
    </xdr:to>
    <xdr:pic>
      <xdr:nvPicPr>
        <xdr:cNvPr id="75" name="Picture 74">
          <a:hlinkClick xmlns:r="http://schemas.openxmlformats.org/officeDocument/2006/relationships" r:id="rId6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296619"/>
          <a:ext cx="136221" cy="136221"/>
        </a:xfrm>
        <a:prstGeom prst="rect">
          <a:avLst/>
        </a:prstGeom>
      </xdr:spPr>
    </xdr:pic>
    <xdr:clientData fPrintsWithSheet="0"/>
  </xdr:twoCellAnchor>
  <xdr:twoCellAnchor editAs="oneCell">
    <xdr:from>
      <xdr:col>2</xdr:col>
      <xdr:colOff>0</xdr:colOff>
      <xdr:row>54</xdr:row>
      <xdr:rowOff>469</xdr:rowOff>
    </xdr:from>
    <xdr:to>
      <xdr:col>2</xdr:col>
      <xdr:colOff>136221</xdr:colOff>
      <xdr:row>54</xdr:row>
      <xdr:rowOff>136690</xdr:rowOff>
    </xdr:to>
    <xdr:pic>
      <xdr:nvPicPr>
        <xdr:cNvPr id="78" name="Picture 77">
          <a:hlinkClick xmlns:r="http://schemas.openxmlformats.org/officeDocument/2006/relationships" r:id="rId7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7525" y="7458544"/>
          <a:ext cx="136221" cy="136221"/>
        </a:xfrm>
        <a:prstGeom prst="rect">
          <a:avLst/>
        </a:prstGeom>
      </xdr:spPr>
    </xdr:pic>
    <xdr:clientData fPrintsWithSheet="0"/>
  </xdr:twoCellAnchor>
  <xdr:twoCellAnchor editAs="oneCell">
    <xdr:from>
      <xdr:col>2</xdr:col>
      <xdr:colOff>0</xdr:colOff>
      <xdr:row>142</xdr:row>
      <xdr:rowOff>469</xdr:rowOff>
    </xdr:from>
    <xdr:to>
      <xdr:col>2</xdr:col>
      <xdr:colOff>136221</xdr:colOff>
      <xdr:row>142</xdr:row>
      <xdr:rowOff>136690</xdr:rowOff>
    </xdr:to>
    <xdr:pic>
      <xdr:nvPicPr>
        <xdr:cNvPr id="79" name="Picture 78">
          <a:hlinkClick xmlns:r="http://schemas.openxmlformats.org/officeDocument/2006/relationships" r:id="rId7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1119992"/>
          <a:ext cx="136221" cy="136221"/>
        </a:xfrm>
        <a:prstGeom prst="rect">
          <a:avLst/>
        </a:prstGeom>
      </xdr:spPr>
    </xdr:pic>
    <xdr:clientData fPrintsWithSheet="0"/>
  </xdr:twoCellAnchor>
  <xdr:twoCellAnchor editAs="oneCell">
    <xdr:from>
      <xdr:col>2</xdr:col>
      <xdr:colOff>0</xdr:colOff>
      <xdr:row>126</xdr:row>
      <xdr:rowOff>469</xdr:rowOff>
    </xdr:from>
    <xdr:to>
      <xdr:col>2</xdr:col>
      <xdr:colOff>136221</xdr:colOff>
      <xdr:row>126</xdr:row>
      <xdr:rowOff>136690</xdr:rowOff>
    </xdr:to>
    <xdr:pic>
      <xdr:nvPicPr>
        <xdr:cNvPr id="80" name="Picture 79">
          <a:hlinkClick xmlns:r="http://schemas.openxmlformats.org/officeDocument/2006/relationships" r:id="rId7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8816674"/>
          <a:ext cx="136221" cy="136221"/>
        </a:xfrm>
        <a:prstGeom prst="rect">
          <a:avLst/>
        </a:prstGeom>
      </xdr:spPr>
    </xdr:pic>
    <xdr:clientData fPrintsWithSheet="0"/>
  </xdr:twoCellAnchor>
  <xdr:twoCellAnchor editAs="oneCell">
    <xdr:from>
      <xdr:col>2</xdr:col>
      <xdr:colOff>0</xdr:colOff>
      <xdr:row>176</xdr:row>
      <xdr:rowOff>469</xdr:rowOff>
    </xdr:from>
    <xdr:to>
      <xdr:col>2</xdr:col>
      <xdr:colOff>136221</xdr:colOff>
      <xdr:row>176</xdr:row>
      <xdr:rowOff>136690</xdr:rowOff>
    </xdr:to>
    <xdr:pic>
      <xdr:nvPicPr>
        <xdr:cNvPr id="81" name="Picture 80">
          <a:hlinkClick xmlns:r="http://schemas.openxmlformats.org/officeDocument/2006/relationships" r:id="rId7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362946"/>
          <a:ext cx="136221" cy="136221"/>
        </a:xfrm>
        <a:prstGeom prst="rect">
          <a:avLst/>
        </a:prstGeom>
      </xdr:spPr>
    </xdr:pic>
    <xdr:clientData fPrintsWithSheet="0"/>
  </xdr:twoCellAnchor>
  <xdr:twoCellAnchor editAs="oneCell">
    <xdr:from>
      <xdr:col>2</xdr:col>
      <xdr:colOff>0</xdr:colOff>
      <xdr:row>177</xdr:row>
      <xdr:rowOff>469</xdr:rowOff>
    </xdr:from>
    <xdr:to>
      <xdr:col>2</xdr:col>
      <xdr:colOff>136221</xdr:colOff>
      <xdr:row>177</xdr:row>
      <xdr:rowOff>136690</xdr:rowOff>
    </xdr:to>
    <xdr:pic>
      <xdr:nvPicPr>
        <xdr:cNvPr id="82" name="Picture 81">
          <a:hlinkClick xmlns:r="http://schemas.openxmlformats.org/officeDocument/2006/relationships" r:id="rId7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527469"/>
          <a:ext cx="136221" cy="136221"/>
        </a:xfrm>
        <a:prstGeom prst="rect">
          <a:avLst/>
        </a:prstGeom>
      </xdr:spPr>
    </xdr:pic>
    <xdr:clientData fPrintsWithSheet="0"/>
  </xdr:twoCellAnchor>
  <xdr:twoCellAnchor editAs="oneCell">
    <xdr:from>
      <xdr:col>2</xdr:col>
      <xdr:colOff>0</xdr:colOff>
      <xdr:row>178</xdr:row>
      <xdr:rowOff>469</xdr:rowOff>
    </xdr:from>
    <xdr:to>
      <xdr:col>2</xdr:col>
      <xdr:colOff>136221</xdr:colOff>
      <xdr:row>178</xdr:row>
      <xdr:rowOff>136690</xdr:rowOff>
    </xdr:to>
    <xdr:pic>
      <xdr:nvPicPr>
        <xdr:cNvPr id="83" name="Picture 82">
          <a:hlinkClick xmlns:r="http://schemas.openxmlformats.org/officeDocument/2006/relationships" r:id="rId7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691992"/>
          <a:ext cx="136221" cy="136221"/>
        </a:xfrm>
        <a:prstGeom prst="rect">
          <a:avLst/>
        </a:prstGeom>
      </xdr:spPr>
    </xdr:pic>
    <xdr:clientData fPrintsWithSheet="0"/>
  </xdr:twoCellAnchor>
  <xdr:twoCellAnchor editAs="oneCell">
    <xdr:from>
      <xdr:col>2</xdr:col>
      <xdr:colOff>0</xdr:colOff>
      <xdr:row>179</xdr:row>
      <xdr:rowOff>469</xdr:rowOff>
    </xdr:from>
    <xdr:to>
      <xdr:col>2</xdr:col>
      <xdr:colOff>136221</xdr:colOff>
      <xdr:row>179</xdr:row>
      <xdr:rowOff>136690</xdr:rowOff>
    </xdr:to>
    <xdr:pic>
      <xdr:nvPicPr>
        <xdr:cNvPr id="84" name="Picture 83">
          <a:hlinkClick xmlns:r="http://schemas.openxmlformats.org/officeDocument/2006/relationships" r:id="rId7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5856514"/>
          <a:ext cx="136221" cy="136221"/>
        </a:xfrm>
        <a:prstGeom prst="rect">
          <a:avLst/>
        </a:prstGeom>
      </xdr:spPr>
    </xdr:pic>
    <xdr:clientData fPrintsWithSheet="0"/>
  </xdr:twoCellAnchor>
  <xdr:twoCellAnchor editAs="oneCell">
    <xdr:from>
      <xdr:col>2</xdr:col>
      <xdr:colOff>0</xdr:colOff>
      <xdr:row>180</xdr:row>
      <xdr:rowOff>469</xdr:rowOff>
    </xdr:from>
    <xdr:to>
      <xdr:col>2</xdr:col>
      <xdr:colOff>136221</xdr:colOff>
      <xdr:row>180</xdr:row>
      <xdr:rowOff>136690</xdr:rowOff>
    </xdr:to>
    <xdr:pic>
      <xdr:nvPicPr>
        <xdr:cNvPr id="85" name="Picture 84">
          <a:hlinkClick xmlns:r="http://schemas.openxmlformats.org/officeDocument/2006/relationships" r:id="rId7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021037"/>
          <a:ext cx="136221" cy="136221"/>
        </a:xfrm>
        <a:prstGeom prst="rect">
          <a:avLst/>
        </a:prstGeom>
      </xdr:spPr>
    </xdr:pic>
    <xdr:clientData fPrintsWithSheet="0"/>
  </xdr:twoCellAnchor>
  <xdr:twoCellAnchor editAs="oneCell">
    <xdr:from>
      <xdr:col>2</xdr:col>
      <xdr:colOff>0</xdr:colOff>
      <xdr:row>181</xdr:row>
      <xdr:rowOff>469</xdr:rowOff>
    </xdr:from>
    <xdr:to>
      <xdr:col>2</xdr:col>
      <xdr:colOff>136221</xdr:colOff>
      <xdr:row>181</xdr:row>
      <xdr:rowOff>136690</xdr:rowOff>
    </xdr:to>
    <xdr:pic>
      <xdr:nvPicPr>
        <xdr:cNvPr id="86" name="Picture 85">
          <a:hlinkClick xmlns:r="http://schemas.openxmlformats.org/officeDocument/2006/relationships" r:id="rId7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185560"/>
          <a:ext cx="136221" cy="136221"/>
        </a:xfrm>
        <a:prstGeom prst="rect">
          <a:avLst/>
        </a:prstGeom>
      </xdr:spPr>
    </xdr:pic>
    <xdr:clientData fPrintsWithSheet="0"/>
  </xdr:twoCellAnchor>
  <xdr:twoCellAnchor editAs="oneCell">
    <xdr:from>
      <xdr:col>2</xdr:col>
      <xdr:colOff>0</xdr:colOff>
      <xdr:row>182</xdr:row>
      <xdr:rowOff>469</xdr:rowOff>
    </xdr:from>
    <xdr:to>
      <xdr:col>2</xdr:col>
      <xdr:colOff>136221</xdr:colOff>
      <xdr:row>182</xdr:row>
      <xdr:rowOff>136690</xdr:rowOff>
    </xdr:to>
    <xdr:pic>
      <xdr:nvPicPr>
        <xdr:cNvPr id="87" name="Picture 86">
          <a:hlinkClick xmlns:r="http://schemas.openxmlformats.org/officeDocument/2006/relationships" r:id="rId7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350083"/>
          <a:ext cx="136221" cy="136221"/>
        </a:xfrm>
        <a:prstGeom prst="rect">
          <a:avLst/>
        </a:prstGeom>
      </xdr:spPr>
    </xdr:pic>
    <xdr:clientData fPrintsWithSheet="0"/>
  </xdr:twoCellAnchor>
  <xdr:twoCellAnchor editAs="oneCell">
    <xdr:from>
      <xdr:col>2</xdr:col>
      <xdr:colOff>421</xdr:colOff>
      <xdr:row>183</xdr:row>
      <xdr:rowOff>1360</xdr:rowOff>
    </xdr:from>
    <xdr:to>
      <xdr:col>2</xdr:col>
      <xdr:colOff>136221</xdr:colOff>
      <xdr:row>183</xdr:row>
      <xdr:rowOff>137160</xdr:rowOff>
    </xdr:to>
    <xdr:pic>
      <xdr:nvPicPr>
        <xdr:cNvPr id="88" name="Picture 87">
          <a:hlinkClick xmlns:r="http://schemas.openxmlformats.org/officeDocument/2006/relationships" r:id="rId8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944" y="26515496"/>
          <a:ext cx="135800" cy="135800"/>
        </a:xfrm>
        <a:prstGeom prst="rect">
          <a:avLst/>
        </a:prstGeom>
      </xdr:spPr>
    </xdr:pic>
    <xdr:clientData fPrintsWithSheet="0"/>
  </xdr:twoCellAnchor>
  <xdr:twoCellAnchor editAs="oneCell">
    <xdr:from>
      <xdr:col>2</xdr:col>
      <xdr:colOff>0</xdr:colOff>
      <xdr:row>184</xdr:row>
      <xdr:rowOff>469</xdr:rowOff>
    </xdr:from>
    <xdr:to>
      <xdr:col>2</xdr:col>
      <xdr:colOff>136221</xdr:colOff>
      <xdr:row>184</xdr:row>
      <xdr:rowOff>136690</xdr:rowOff>
    </xdr:to>
    <xdr:pic>
      <xdr:nvPicPr>
        <xdr:cNvPr id="89" name="Picture 88">
          <a:hlinkClick xmlns:r="http://schemas.openxmlformats.org/officeDocument/2006/relationships" r:id="rId8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679128"/>
          <a:ext cx="136221" cy="136221"/>
        </a:xfrm>
        <a:prstGeom prst="rect">
          <a:avLst/>
        </a:prstGeom>
      </xdr:spPr>
    </xdr:pic>
    <xdr:clientData fPrintsWithSheet="0"/>
  </xdr:twoCellAnchor>
  <xdr:twoCellAnchor editAs="oneCell">
    <xdr:from>
      <xdr:col>2</xdr:col>
      <xdr:colOff>0</xdr:colOff>
      <xdr:row>185</xdr:row>
      <xdr:rowOff>469</xdr:rowOff>
    </xdr:from>
    <xdr:to>
      <xdr:col>2</xdr:col>
      <xdr:colOff>136221</xdr:colOff>
      <xdr:row>185</xdr:row>
      <xdr:rowOff>136690</xdr:rowOff>
    </xdr:to>
    <xdr:pic>
      <xdr:nvPicPr>
        <xdr:cNvPr id="90" name="Picture 89">
          <a:hlinkClick xmlns:r="http://schemas.openxmlformats.org/officeDocument/2006/relationships" r:id="rId8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6843651"/>
          <a:ext cx="136221" cy="136221"/>
        </a:xfrm>
        <a:prstGeom prst="rect">
          <a:avLst/>
        </a:prstGeom>
      </xdr:spPr>
    </xdr:pic>
    <xdr:clientData fPrintsWithSheet="0"/>
  </xdr:twoCellAnchor>
  <xdr:twoCellAnchor editAs="oneCell">
    <xdr:from>
      <xdr:col>2</xdr:col>
      <xdr:colOff>0</xdr:colOff>
      <xdr:row>189</xdr:row>
      <xdr:rowOff>469</xdr:rowOff>
    </xdr:from>
    <xdr:to>
      <xdr:col>2</xdr:col>
      <xdr:colOff>136221</xdr:colOff>
      <xdr:row>189</xdr:row>
      <xdr:rowOff>136690</xdr:rowOff>
    </xdr:to>
    <xdr:pic>
      <xdr:nvPicPr>
        <xdr:cNvPr id="91" name="Picture 90">
          <a:hlinkClick xmlns:r="http://schemas.openxmlformats.org/officeDocument/2006/relationships" r:id="rId8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501742"/>
          <a:ext cx="136221" cy="136221"/>
        </a:xfrm>
        <a:prstGeom prst="rect">
          <a:avLst/>
        </a:prstGeom>
      </xdr:spPr>
    </xdr:pic>
    <xdr:clientData fPrintsWithSheet="0"/>
  </xdr:twoCellAnchor>
  <xdr:twoCellAnchor editAs="oneCell">
    <xdr:from>
      <xdr:col>1</xdr:col>
      <xdr:colOff>884799</xdr:colOff>
      <xdr:row>0</xdr:row>
      <xdr:rowOff>147637</xdr:rowOff>
    </xdr:from>
    <xdr:to>
      <xdr:col>1</xdr:col>
      <xdr:colOff>1706066</xdr:colOff>
      <xdr:row>4</xdr:row>
      <xdr:rowOff>17280</xdr:rowOff>
    </xdr:to>
    <xdr:sp macro="[0]!PrintBS_Final" textlink="">
      <xdr:nvSpPr>
        <xdr:cNvPr id="92" name="Rectangle 91">
          <a:hlinkClick xmlns:r="http://schemas.openxmlformats.org/officeDocument/2006/relationships" r:id="rId84" tooltip="Go to General Info"/>
        </xdr:cNvPr>
        <xdr:cNvSpPr/>
      </xdr:nvSpPr>
      <xdr:spPr>
        <a:xfrm>
          <a:off x="884799" y="147637"/>
          <a:ext cx="821267" cy="542743"/>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Go</a:t>
          </a:r>
          <a:r>
            <a:rPr lang="en-US" sz="1400" b="1" baseline="0"/>
            <a:t> to Gen Info</a:t>
          </a:r>
          <a:endParaRPr lang="en-US" sz="1400" b="1"/>
        </a:p>
      </xdr:txBody>
    </xdr:sp>
    <xdr:clientData fPrintsWithSheet="0"/>
  </xdr:twoCellAnchor>
  <xdr:twoCellAnchor editAs="oneCell">
    <xdr:from>
      <xdr:col>11</xdr:col>
      <xdr:colOff>408525</xdr:colOff>
      <xdr:row>0</xdr:row>
      <xdr:rowOff>147637</xdr:rowOff>
    </xdr:from>
    <xdr:to>
      <xdr:col>14</xdr:col>
      <xdr:colOff>460912</xdr:colOff>
      <xdr:row>4</xdr:row>
      <xdr:rowOff>20002</xdr:rowOff>
    </xdr:to>
    <xdr:sp macro="[0]!PrintBS_Final" textlink="">
      <xdr:nvSpPr>
        <xdr:cNvPr id="97" name="Rectangle 96">
          <a:hlinkClick xmlns:r="http://schemas.openxmlformats.org/officeDocument/2006/relationships" r:id="rId85" tooltip="Go to Online Help Video"/>
        </xdr:cNvPr>
        <xdr:cNvSpPr/>
      </xdr:nvSpPr>
      <xdr:spPr>
        <a:xfrm>
          <a:off x="9619200" y="147637"/>
          <a:ext cx="2309812"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Income Statement</a:t>
          </a:r>
        </a:p>
        <a:p>
          <a:pPr algn="ctr"/>
          <a:r>
            <a:rPr lang="en-US" sz="1400" b="1" baseline="0"/>
            <a:t>help video (opens browser)</a:t>
          </a:r>
          <a:endParaRPr lang="en-US" sz="1400" b="1"/>
        </a:p>
      </xdr:txBody>
    </xdr:sp>
    <xdr:clientData fPrintsWithSheet="0"/>
  </xdr:twoCellAnchor>
  <xdr:twoCellAnchor editAs="oneCell">
    <xdr:from>
      <xdr:col>14</xdr:col>
      <xdr:colOff>520442</xdr:colOff>
      <xdr:row>0</xdr:row>
      <xdr:rowOff>147637</xdr:rowOff>
    </xdr:from>
    <xdr:to>
      <xdr:col>17</xdr:col>
      <xdr:colOff>572828</xdr:colOff>
      <xdr:row>4</xdr:row>
      <xdr:rowOff>20002</xdr:rowOff>
    </xdr:to>
    <xdr:sp macro="[0]!PrintBS_Final" textlink="">
      <xdr:nvSpPr>
        <xdr:cNvPr id="95" name="Rectangle 94">
          <a:hlinkClick xmlns:r="http://schemas.openxmlformats.org/officeDocument/2006/relationships" r:id="rId86" tooltip="Go to Online Help Video"/>
        </xdr:cNvPr>
        <xdr:cNvSpPr/>
      </xdr:nvSpPr>
      <xdr:spPr>
        <a:xfrm>
          <a:off x="11988542" y="147637"/>
          <a:ext cx="2309811" cy="548640"/>
        </a:xfrm>
        <a:prstGeom prst="rect">
          <a:avLst/>
        </a:prstGeom>
        <a:solidFill>
          <a:srgbClr val="F37321"/>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View the</a:t>
          </a:r>
          <a:r>
            <a:rPr lang="en-US" sz="1400" b="1" baseline="0"/>
            <a:t> Cash Flow Plan</a:t>
          </a:r>
        </a:p>
        <a:p>
          <a:pPr algn="ctr"/>
          <a:r>
            <a:rPr lang="en-US" sz="1400" b="1" baseline="0"/>
            <a:t>help video (opens browser)</a:t>
          </a:r>
          <a:endParaRPr lang="en-US" sz="1400" b="1"/>
        </a:p>
      </xdr:txBody>
    </xdr:sp>
    <xdr:clientData fPrintsWithSheet="0"/>
  </xdr:twoCellAnchor>
  <xdr:twoCellAnchor editAs="oneCell">
    <xdr:from>
      <xdr:col>2</xdr:col>
      <xdr:colOff>0</xdr:colOff>
      <xdr:row>131</xdr:row>
      <xdr:rowOff>0</xdr:rowOff>
    </xdr:from>
    <xdr:to>
      <xdr:col>2</xdr:col>
      <xdr:colOff>136221</xdr:colOff>
      <xdr:row>131</xdr:row>
      <xdr:rowOff>136221</xdr:rowOff>
    </xdr:to>
    <xdr:pic>
      <xdr:nvPicPr>
        <xdr:cNvPr id="98" name="Picture 97">
          <a:hlinkClick xmlns:r="http://schemas.openxmlformats.org/officeDocument/2006/relationships" r:id="rId8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9630159"/>
          <a:ext cx="136221" cy="136221"/>
        </a:xfrm>
        <a:prstGeom prst="rect">
          <a:avLst/>
        </a:prstGeom>
      </xdr:spPr>
    </xdr:pic>
    <xdr:clientData fPrintsWithSheet="0"/>
  </xdr:twoCellAnchor>
  <xdr:twoCellAnchor editAs="oneCell">
    <xdr:from>
      <xdr:col>2</xdr:col>
      <xdr:colOff>0</xdr:colOff>
      <xdr:row>192</xdr:row>
      <xdr:rowOff>0</xdr:rowOff>
    </xdr:from>
    <xdr:to>
      <xdr:col>2</xdr:col>
      <xdr:colOff>136221</xdr:colOff>
      <xdr:row>192</xdr:row>
      <xdr:rowOff>136221</xdr:rowOff>
    </xdr:to>
    <xdr:pic>
      <xdr:nvPicPr>
        <xdr:cNvPr id="99" name="Picture 98">
          <a:hlinkClick xmlns:r="http://schemas.openxmlformats.org/officeDocument/2006/relationships" r:id="rId8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7994841"/>
          <a:ext cx="136221" cy="136221"/>
        </a:xfrm>
        <a:prstGeom prst="rect">
          <a:avLst/>
        </a:prstGeom>
      </xdr:spPr>
    </xdr:pic>
    <xdr:clientData fPrintsWithSheet="0"/>
  </xdr:twoCellAnchor>
  <xdr:twoCellAnchor editAs="oneCell">
    <xdr:from>
      <xdr:col>2</xdr:col>
      <xdr:colOff>0</xdr:colOff>
      <xdr:row>193</xdr:row>
      <xdr:rowOff>0</xdr:rowOff>
    </xdr:from>
    <xdr:to>
      <xdr:col>2</xdr:col>
      <xdr:colOff>136221</xdr:colOff>
      <xdr:row>193</xdr:row>
      <xdr:rowOff>136221</xdr:rowOff>
    </xdr:to>
    <xdr:pic>
      <xdr:nvPicPr>
        <xdr:cNvPr id="100" name="Picture 99">
          <a:hlinkClick xmlns:r="http://schemas.openxmlformats.org/officeDocument/2006/relationships" r:id="rId8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8159364"/>
          <a:ext cx="136221" cy="136221"/>
        </a:xfrm>
        <a:prstGeom prst="rect">
          <a:avLst/>
        </a:prstGeom>
      </xdr:spPr>
    </xdr:pic>
    <xdr:clientData fPrintsWithSheet="0"/>
  </xdr:twoCellAnchor>
  <xdr:twoCellAnchor editAs="oneCell">
    <xdr:from>
      <xdr:col>2</xdr:col>
      <xdr:colOff>0</xdr:colOff>
      <xdr:row>166</xdr:row>
      <xdr:rowOff>0</xdr:rowOff>
    </xdr:from>
    <xdr:to>
      <xdr:col>2</xdr:col>
      <xdr:colOff>136221</xdr:colOff>
      <xdr:row>166</xdr:row>
      <xdr:rowOff>136221</xdr:rowOff>
    </xdr:to>
    <xdr:pic>
      <xdr:nvPicPr>
        <xdr:cNvPr id="101" name="Picture 100">
          <a:hlinkClick xmlns:r="http://schemas.openxmlformats.org/officeDocument/2006/relationships" r:id="rId9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3864455"/>
          <a:ext cx="136221" cy="136221"/>
        </a:xfrm>
        <a:prstGeom prst="rect">
          <a:avLst/>
        </a:prstGeom>
      </xdr:spPr>
    </xdr:pic>
    <xdr:clientData fPrintsWithSheet="0"/>
  </xdr:twoCellAnchor>
  <xdr:twoCellAnchor editAs="oneCell">
    <xdr:from>
      <xdr:col>2</xdr:col>
      <xdr:colOff>0</xdr:colOff>
      <xdr:row>167</xdr:row>
      <xdr:rowOff>0</xdr:rowOff>
    </xdr:from>
    <xdr:to>
      <xdr:col>2</xdr:col>
      <xdr:colOff>136221</xdr:colOff>
      <xdr:row>167</xdr:row>
      <xdr:rowOff>136221</xdr:rowOff>
    </xdr:to>
    <xdr:pic>
      <xdr:nvPicPr>
        <xdr:cNvPr id="103" name="Picture 102">
          <a:hlinkClick xmlns:r="http://schemas.openxmlformats.org/officeDocument/2006/relationships" r:id="rId9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4028977"/>
          <a:ext cx="136221" cy="136221"/>
        </a:xfrm>
        <a:prstGeom prst="rect">
          <a:avLst/>
        </a:prstGeom>
      </xdr:spPr>
    </xdr:pic>
    <xdr:clientData fPrintsWithSheet="0"/>
  </xdr:twoCellAnchor>
  <xdr:twoCellAnchor editAs="oneCell">
    <xdr:from>
      <xdr:col>2</xdr:col>
      <xdr:colOff>0</xdr:colOff>
      <xdr:row>143</xdr:row>
      <xdr:rowOff>0</xdr:rowOff>
    </xdr:from>
    <xdr:to>
      <xdr:col>2</xdr:col>
      <xdr:colOff>136221</xdr:colOff>
      <xdr:row>143</xdr:row>
      <xdr:rowOff>136221</xdr:rowOff>
    </xdr:to>
    <xdr:pic>
      <xdr:nvPicPr>
        <xdr:cNvPr id="104" name="Picture 103">
          <a:hlinkClick xmlns:r="http://schemas.openxmlformats.org/officeDocument/2006/relationships" r:id="rId9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1275386"/>
          <a:ext cx="136221" cy="136221"/>
        </a:xfrm>
        <a:prstGeom prst="rect">
          <a:avLst/>
        </a:prstGeom>
      </xdr:spPr>
    </xdr:pic>
    <xdr:clientData fPrintsWithSheet="0"/>
  </xdr:twoCellAnchor>
  <xdr:twoCellAnchor editAs="oneCell">
    <xdr:from>
      <xdr:col>2</xdr:col>
      <xdr:colOff>0</xdr:colOff>
      <xdr:row>74</xdr:row>
      <xdr:rowOff>0</xdr:rowOff>
    </xdr:from>
    <xdr:to>
      <xdr:col>2</xdr:col>
      <xdr:colOff>136221</xdr:colOff>
      <xdr:row>74</xdr:row>
      <xdr:rowOff>136221</xdr:rowOff>
    </xdr:to>
    <xdr:pic>
      <xdr:nvPicPr>
        <xdr:cNvPr id="105" name="Picture 104">
          <a:hlinkClick xmlns:r="http://schemas.openxmlformats.org/officeDocument/2006/relationships" r:id="rId9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276600" y="7534275"/>
          <a:ext cx="136221" cy="136221"/>
        </a:xfrm>
        <a:prstGeom prst="rect">
          <a:avLst/>
        </a:prstGeom>
      </xdr:spPr>
    </xdr:pic>
    <xdr:clientData fPrintsWithSheet="0"/>
  </xdr:twoCellAnchor>
  <xdr:twoCellAnchor editAs="oneCell">
    <xdr:from>
      <xdr:col>1</xdr:col>
      <xdr:colOff>1499647</xdr:colOff>
      <xdr:row>74</xdr:row>
      <xdr:rowOff>0</xdr:rowOff>
    </xdr:from>
    <xdr:to>
      <xdr:col>1</xdr:col>
      <xdr:colOff>1639188</xdr:colOff>
      <xdr:row>74</xdr:row>
      <xdr:rowOff>137160</xdr:rowOff>
    </xdr:to>
    <xdr:pic>
      <xdr:nvPicPr>
        <xdr:cNvPr id="102" name="Picture 101">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1499647" y="11553825"/>
          <a:ext cx="139541" cy="137160"/>
        </a:xfrm>
        <a:prstGeom prst="rect">
          <a:avLst/>
        </a:prstGeom>
      </xdr:spPr>
    </xdr:pic>
    <xdr:clientData fPrintsWithSheet="0"/>
  </xdr:twoCellAnchor>
  <xdr:twoCellAnchor editAs="oneCell">
    <xdr:from>
      <xdr:col>1</xdr:col>
      <xdr:colOff>2037280</xdr:colOff>
      <xdr:row>73</xdr:row>
      <xdr:rowOff>0</xdr:rowOff>
    </xdr:from>
    <xdr:to>
      <xdr:col>1</xdr:col>
      <xdr:colOff>2176821</xdr:colOff>
      <xdr:row>73</xdr:row>
      <xdr:rowOff>137160</xdr:rowOff>
    </xdr:to>
    <xdr:pic>
      <xdr:nvPicPr>
        <xdr:cNvPr id="106" name="Picture 105">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2037280" y="11391900"/>
          <a:ext cx="139541" cy="137160"/>
        </a:xfrm>
        <a:prstGeom prst="rect">
          <a:avLst/>
        </a:prstGeom>
      </xdr:spPr>
    </xdr:pic>
    <xdr:clientData fPrintsWithSheet="0"/>
  </xdr:twoCellAnchor>
  <xdr:twoCellAnchor editAs="oneCell">
    <xdr:from>
      <xdr:col>1</xdr:col>
      <xdr:colOff>573611</xdr:colOff>
      <xdr:row>143</xdr:row>
      <xdr:rowOff>9525</xdr:rowOff>
    </xdr:from>
    <xdr:to>
      <xdr:col>1</xdr:col>
      <xdr:colOff>713152</xdr:colOff>
      <xdr:row>143</xdr:row>
      <xdr:rowOff>146685</xdr:rowOff>
    </xdr:to>
    <xdr:pic>
      <xdr:nvPicPr>
        <xdr:cNvPr id="107" name="Picture 106">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573611" y="21183600"/>
          <a:ext cx="139541" cy="137160"/>
        </a:xfrm>
        <a:prstGeom prst="rect">
          <a:avLst/>
        </a:prstGeom>
      </xdr:spPr>
    </xdr:pic>
    <xdr:clientData fPrintsWithSheet="0"/>
  </xdr:twoCellAnchor>
  <xdr:twoCellAnchor editAs="oneCell">
    <xdr:from>
      <xdr:col>1</xdr:col>
      <xdr:colOff>1081607</xdr:colOff>
      <xdr:row>142</xdr:row>
      <xdr:rowOff>0</xdr:rowOff>
    </xdr:from>
    <xdr:to>
      <xdr:col>1</xdr:col>
      <xdr:colOff>1221148</xdr:colOff>
      <xdr:row>142</xdr:row>
      <xdr:rowOff>137160</xdr:rowOff>
    </xdr:to>
    <xdr:pic>
      <xdr:nvPicPr>
        <xdr:cNvPr id="108" name="Picture 107">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1081607" y="21021675"/>
          <a:ext cx="139541" cy="137160"/>
        </a:xfrm>
        <a:prstGeom prst="rect">
          <a:avLst/>
        </a:prstGeom>
      </xdr:spPr>
    </xdr:pic>
    <xdr:clientData fPrintsWithSheet="0"/>
  </xdr:twoCellAnchor>
  <xdr:twoCellAnchor editAs="oneCell">
    <xdr:from>
      <xdr:col>1</xdr:col>
      <xdr:colOff>1209666</xdr:colOff>
      <xdr:row>167</xdr:row>
      <xdr:rowOff>0</xdr:rowOff>
    </xdr:from>
    <xdr:to>
      <xdr:col>1</xdr:col>
      <xdr:colOff>1349207</xdr:colOff>
      <xdr:row>167</xdr:row>
      <xdr:rowOff>137160</xdr:rowOff>
    </xdr:to>
    <xdr:pic>
      <xdr:nvPicPr>
        <xdr:cNvPr id="109" name="Picture 108">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1209666" y="24183975"/>
          <a:ext cx="139541" cy="137160"/>
        </a:xfrm>
        <a:prstGeom prst="rect">
          <a:avLst/>
        </a:prstGeom>
      </xdr:spPr>
    </xdr:pic>
    <xdr:clientData fPrintsWithSheet="0"/>
  </xdr:twoCellAnchor>
  <xdr:twoCellAnchor editAs="oneCell">
    <xdr:from>
      <xdr:col>1</xdr:col>
      <xdr:colOff>346076</xdr:colOff>
      <xdr:row>166</xdr:row>
      <xdr:rowOff>0</xdr:rowOff>
    </xdr:from>
    <xdr:to>
      <xdr:col>1</xdr:col>
      <xdr:colOff>485617</xdr:colOff>
      <xdr:row>166</xdr:row>
      <xdr:rowOff>137160</xdr:rowOff>
    </xdr:to>
    <xdr:pic>
      <xdr:nvPicPr>
        <xdr:cNvPr id="110" name="Picture 109">
          <a:hlinkClick xmlns:r="http://schemas.openxmlformats.org/officeDocument/2006/relationships" r:id="rId94" tooltip="Go back to proposed loan ent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346076" y="24022050"/>
          <a:ext cx="139541" cy="137160"/>
        </a:xfrm>
        <a:prstGeom prst="rect">
          <a:avLst/>
        </a:prstGeom>
      </xdr:spPr>
    </xdr:pic>
    <xdr:clientData fPrintsWithSheet="0"/>
  </xdr:twoCellAnchor>
  <xdr:oneCellAnchor>
    <xdr:from>
      <xdr:col>2</xdr:col>
      <xdr:colOff>0</xdr:colOff>
      <xdr:row>12</xdr:row>
      <xdr:rowOff>0</xdr:rowOff>
    </xdr:from>
    <xdr:ext cx="137160" cy="137160"/>
    <xdr:pic>
      <xdr:nvPicPr>
        <xdr:cNvPr id="113" name="Picture 112">
          <a:hlinkClick xmlns:r="http://schemas.openxmlformats.org/officeDocument/2006/relationships" r:id="rId9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980" y="1768039"/>
          <a:ext cx="137160" cy="137160"/>
        </a:xfrm>
        <a:prstGeom prst="rect">
          <a:avLst/>
        </a:prstGeom>
      </xdr:spPr>
    </xdr:pic>
    <xdr:clientData fPrintsWithSheet="0"/>
  </xdr:oneCellAnchor>
  <xdr:oneCellAnchor>
    <xdr:from>
      <xdr:col>2</xdr:col>
      <xdr:colOff>0</xdr:colOff>
      <xdr:row>58</xdr:row>
      <xdr:rowOff>469</xdr:rowOff>
    </xdr:from>
    <xdr:ext cx="136221" cy="136221"/>
    <xdr:pic>
      <xdr:nvPicPr>
        <xdr:cNvPr id="114" name="Picture 113">
          <a:hlinkClick xmlns:r="http://schemas.openxmlformats.org/officeDocument/2006/relationships" r:id="rId9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980" y="5996861"/>
          <a:ext cx="136221" cy="136221"/>
        </a:xfrm>
        <a:prstGeom prst="rect">
          <a:avLst/>
        </a:prstGeom>
      </xdr:spPr>
    </xdr:pic>
    <xdr:clientData fPrintsWithSheet="0"/>
  </xdr:oneCellAnchor>
  <xdr:twoCellAnchor editAs="oneCell">
    <xdr:from>
      <xdr:col>2</xdr:col>
      <xdr:colOff>0</xdr:colOff>
      <xdr:row>107</xdr:row>
      <xdr:rowOff>0</xdr:rowOff>
    </xdr:from>
    <xdr:to>
      <xdr:col>2</xdr:col>
      <xdr:colOff>136221</xdr:colOff>
      <xdr:row>107</xdr:row>
      <xdr:rowOff>136221</xdr:rowOff>
    </xdr:to>
    <xdr:pic>
      <xdr:nvPicPr>
        <xdr:cNvPr id="115" name="Picture 114">
          <a:hlinkClick xmlns:r="http://schemas.openxmlformats.org/officeDocument/2006/relationships" r:id="rId9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854795"/>
          <a:ext cx="136221" cy="136221"/>
        </a:xfrm>
        <a:prstGeom prst="rect">
          <a:avLst/>
        </a:prstGeom>
      </xdr:spPr>
    </xdr:pic>
    <xdr:clientData fPrintsWithSheet="0"/>
  </xdr:twoCellAnchor>
  <xdr:twoCellAnchor editAs="oneCell">
    <xdr:from>
      <xdr:col>2</xdr:col>
      <xdr:colOff>0</xdr:colOff>
      <xdr:row>104</xdr:row>
      <xdr:rowOff>0</xdr:rowOff>
    </xdr:from>
    <xdr:to>
      <xdr:col>2</xdr:col>
      <xdr:colOff>136221</xdr:colOff>
      <xdr:row>104</xdr:row>
      <xdr:rowOff>136221</xdr:rowOff>
    </xdr:to>
    <xdr:pic>
      <xdr:nvPicPr>
        <xdr:cNvPr id="116" name="Picture 115">
          <a:hlinkClick xmlns:r="http://schemas.openxmlformats.org/officeDocument/2006/relationships" r:id="rId9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361227"/>
          <a:ext cx="136221" cy="136221"/>
        </a:xfrm>
        <a:prstGeom prst="rect">
          <a:avLst/>
        </a:prstGeom>
      </xdr:spPr>
    </xdr:pic>
    <xdr:clientData fPrintsWithSheet="0"/>
  </xdr:twoCellAnchor>
  <xdr:twoCellAnchor editAs="oneCell">
    <xdr:from>
      <xdr:col>2</xdr:col>
      <xdr:colOff>0</xdr:colOff>
      <xdr:row>105</xdr:row>
      <xdr:rowOff>0</xdr:rowOff>
    </xdr:from>
    <xdr:to>
      <xdr:col>2</xdr:col>
      <xdr:colOff>136221</xdr:colOff>
      <xdr:row>105</xdr:row>
      <xdr:rowOff>136221</xdr:rowOff>
    </xdr:to>
    <xdr:pic>
      <xdr:nvPicPr>
        <xdr:cNvPr id="117" name="Picture 116">
          <a:hlinkClick xmlns:r="http://schemas.openxmlformats.org/officeDocument/2006/relationships" r:id="rId10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525750"/>
          <a:ext cx="136221" cy="136221"/>
        </a:xfrm>
        <a:prstGeom prst="rect">
          <a:avLst/>
        </a:prstGeom>
      </xdr:spPr>
    </xdr:pic>
    <xdr:clientData fPrintsWithSheet="0"/>
  </xdr:twoCellAnchor>
  <xdr:twoCellAnchor editAs="oneCell">
    <xdr:from>
      <xdr:col>2</xdr:col>
      <xdr:colOff>0</xdr:colOff>
      <xdr:row>106</xdr:row>
      <xdr:rowOff>0</xdr:rowOff>
    </xdr:from>
    <xdr:to>
      <xdr:col>2</xdr:col>
      <xdr:colOff>136221</xdr:colOff>
      <xdr:row>106</xdr:row>
      <xdr:rowOff>136221</xdr:rowOff>
    </xdr:to>
    <xdr:pic>
      <xdr:nvPicPr>
        <xdr:cNvPr id="118" name="Picture 117">
          <a:hlinkClick xmlns:r="http://schemas.openxmlformats.org/officeDocument/2006/relationships" r:id="rId10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15690273"/>
          <a:ext cx="136221" cy="136221"/>
        </a:xfrm>
        <a:prstGeom prst="rect">
          <a:avLst/>
        </a:prstGeom>
      </xdr:spPr>
    </xdr:pic>
    <xdr:clientData fPrintsWithSheet="0"/>
  </xdr:twoCellAnchor>
  <xdr:twoCellAnchor editAs="oneCell">
    <xdr:from>
      <xdr:col>2</xdr:col>
      <xdr:colOff>0</xdr:colOff>
      <xdr:row>153</xdr:row>
      <xdr:rowOff>0</xdr:rowOff>
    </xdr:from>
    <xdr:to>
      <xdr:col>2</xdr:col>
      <xdr:colOff>136221</xdr:colOff>
      <xdr:row>153</xdr:row>
      <xdr:rowOff>136221</xdr:rowOff>
    </xdr:to>
    <xdr:pic>
      <xdr:nvPicPr>
        <xdr:cNvPr id="119" name="Picture 118">
          <a:hlinkClick xmlns:r="http://schemas.openxmlformats.org/officeDocument/2006/relationships" r:id="rId5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31523" y="22305818"/>
          <a:ext cx="136221" cy="136221"/>
        </a:xfrm>
        <a:prstGeom prst="rect">
          <a:avLst/>
        </a:prstGeom>
      </xdr:spPr>
    </xdr:pic>
    <xdr:clientData fPrintsWithSheet="0"/>
  </xdr:twoCellAnchor>
  <xdr:twoCellAnchor editAs="oneCell">
    <xdr:from>
      <xdr:col>2</xdr:col>
      <xdr:colOff>0</xdr:colOff>
      <xdr:row>13</xdr:row>
      <xdr:rowOff>0</xdr:rowOff>
    </xdr:from>
    <xdr:to>
      <xdr:col>2</xdr:col>
      <xdr:colOff>137160</xdr:colOff>
      <xdr:row>13</xdr:row>
      <xdr:rowOff>137160</xdr:rowOff>
    </xdr:to>
    <xdr:pic>
      <xdr:nvPicPr>
        <xdr:cNvPr id="121" name="Picture 120">
          <a:hlinkClick xmlns:r="http://schemas.openxmlformats.org/officeDocument/2006/relationships" r:id="rId10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105025"/>
          <a:ext cx="137160" cy="137160"/>
        </a:xfrm>
        <a:prstGeom prst="rect">
          <a:avLst/>
        </a:prstGeom>
      </xdr:spPr>
    </xdr:pic>
    <xdr:clientData fPrintsWithSheet="0"/>
  </xdr:twoCellAnchor>
  <xdr:twoCellAnchor editAs="oneCell">
    <xdr:from>
      <xdr:col>2</xdr:col>
      <xdr:colOff>0</xdr:colOff>
      <xdr:row>14</xdr:row>
      <xdr:rowOff>0</xdr:rowOff>
    </xdr:from>
    <xdr:to>
      <xdr:col>2</xdr:col>
      <xdr:colOff>137160</xdr:colOff>
      <xdr:row>14</xdr:row>
      <xdr:rowOff>137160</xdr:rowOff>
    </xdr:to>
    <xdr:pic>
      <xdr:nvPicPr>
        <xdr:cNvPr id="122" name="Picture 121">
          <a:hlinkClick xmlns:r="http://schemas.openxmlformats.org/officeDocument/2006/relationships" r:id="rId10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266950"/>
          <a:ext cx="137160" cy="137160"/>
        </a:xfrm>
        <a:prstGeom prst="rect">
          <a:avLst/>
        </a:prstGeom>
      </xdr:spPr>
    </xdr:pic>
    <xdr:clientData fPrintsWithSheet="0"/>
  </xdr:twoCellAnchor>
  <xdr:twoCellAnchor editAs="oneCell">
    <xdr:from>
      <xdr:col>2</xdr:col>
      <xdr:colOff>0</xdr:colOff>
      <xdr:row>15</xdr:row>
      <xdr:rowOff>0</xdr:rowOff>
    </xdr:from>
    <xdr:to>
      <xdr:col>2</xdr:col>
      <xdr:colOff>137160</xdr:colOff>
      <xdr:row>15</xdr:row>
      <xdr:rowOff>137160</xdr:rowOff>
    </xdr:to>
    <xdr:pic>
      <xdr:nvPicPr>
        <xdr:cNvPr id="123" name="Picture 122">
          <a:hlinkClick xmlns:r="http://schemas.openxmlformats.org/officeDocument/2006/relationships" r:id="rId10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428875"/>
          <a:ext cx="137160" cy="137160"/>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4" name="Picture 123">
          <a:hlinkClick xmlns:r="http://schemas.openxmlformats.org/officeDocument/2006/relationships" r:id="rId10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590800"/>
          <a:ext cx="137160" cy="137160"/>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5" name="Picture 124">
          <a:hlinkClick xmlns:r="http://schemas.openxmlformats.org/officeDocument/2006/relationships" r:id="rId10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752725"/>
          <a:ext cx="137160" cy="137160"/>
        </a:xfrm>
        <a:prstGeom prst="rect">
          <a:avLst/>
        </a:prstGeom>
      </xdr:spPr>
    </xdr:pic>
    <xdr:clientData fPrintsWithSheet="0"/>
  </xdr:twoCellAnchor>
  <xdr:twoCellAnchor editAs="oneCell">
    <xdr:from>
      <xdr:col>2</xdr:col>
      <xdr:colOff>0</xdr:colOff>
      <xdr:row>18</xdr:row>
      <xdr:rowOff>0</xdr:rowOff>
    </xdr:from>
    <xdr:to>
      <xdr:col>2</xdr:col>
      <xdr:colOff>137160</xdr:colOff>
      <xdr:row>18</xdr:row>
      <xdr:rowOff>137160</xdr:rowOff>
    </xdr:to>
    <xdr:pic>
      <xdr:nvPicPr>
        <xdr:cNvPr id="126" name="Picture 125">
          <a:hlinkClick xmlns:r="http://schemas.openxmlformats.org/officeDocument/2006/relationships" r:id="rId10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3076575"/>
          <a:ext cx="137160" cy="137160"/>
        </a:xfrm>
        <a:prstGeom prst="rect">
          <a:avLst/>
        </a:prstGeom>
      </xdr:spPr>
    </xdr:pic>
    <xdr:clientData fPrintsWithSheet="0"/>
  </xdr:twoCellAnchor>
  <xdr:twoCellAnchor editAs="oneCell">
    <xdr:from>
      <xdr:col>2</xdr:col>
      <xdr:colOff>0</xdr:colOff>
      <xdr:row>55</xdr:row>
      <xdr:rowOff>0</xdr:rowOff>
    </xdr:from>
    <xdr:to>
      <xdr:col>2</xdr:col>
      <xdr:colOff>136221</xdr:colOff>
      <xdr:row>55</xdr:row>
      <xdr:rowOff>136221</xdr:rowOff>
    </xdr:to>
    <xdr:pic>
      <xdr:nvPicPr>
        <xdr:cNvPr id="120" name="Picture 119">
          <a:hlinkClick xmlns:r="http://schemas.openxmlformats.org/officeDocument/2006/relationships" r:id="rId7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153525"/>
          <a:ext cx="136221" cy="136221"/>
        </a:xfrm>
        <a:prstGeom prst="rect">
          <a:avLst/>
        </a:prstGeom>
      </xdr:spPr>
    </xdr:pic>
    <xdr:clientData fPrintsWithSheet="0"/>
  </xdr:twoCellAnchor>
  <xdr:twoCellAnchor editAs="oneCell">
    <xdr:from>
      <xdr:col>2</xdr:col>
      <xdr:colOff>0</xdr:colOff>
      <xdr:row>56</xdr:row>
      <xdr:rowOff>0</xdr:rowOff>
    </xdr:from>
    <xdr:to>
      <xdr:col>2</xdr:col>
      <xdr:colOff>136221</xdr:colOff>
      <xdr:row>56</xdr:row>
      <xdr:rowOff>136221</xdr:rowOff>
    </xdr:to>
    <xdr:pic>
      <xdr:nvPicPr>
        <xdr:cNvPr id="127" name="Picture 126">
          <a:hlinkClick xmlns:r="http://schemas.openxmlformats.org/officeDocument/2006/relationships" r:id="rId7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315450"/>
          <a:ext cx="136221" cy="136221"/>
        </a:xfrm>
        <a:prstGeom prst="rect">
          <a:avLst/>
        </a:prstGeom>
      </xdr:spPr>
    </xdr:pic>
    <xdr:clientData fPrintsWithSheet="0"/>
  </xdr:twoCellAnchor>
  <xdr:twoCellAnchor editAs="oneCell">
    <xdr:from>
      <xdr:col>2</xdr:col>
      <xdr:colOff>0</xdr:colOff>
      <xdr:row>16</xdr:row>
      <xdr:rowOff>0</xdr:rowOff>
    </xdr:from>
    <xdr:to>
      <xdr:col>2</xdr:col>
      <xdr:colOff>137160</xdr:colOff>
      <xdr:row>16</xdr:row>
      <xdr:rowOff>137160</xdr:rowOff>
    </xdr:to>
    <xdr:pic>
      <xdr:nvPicPr>
        <xdr:cNvPr id="128" name="Picture 127">
          <a:hlinkClick xmlns:r="http://schemas.openxmlformats.org/officeDocument/2006/relationships" r:id="rId10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2752725"/>
          <a:ext cx="137160" cy="137160"/>
        </a:xfrm>
        <a:prstGeom prst="rect">
          <a:avLst/>
        </a:prstGeom>
      </xdr:spPr>
    </xdr:pic>
    <xdr:clientData fPrintsWithSheet="0"/>
  </xdr:twoCellAnchor>
  <xdr:twoCellAnchor editAs="oneCell">
    <xdr:from>
      <xdr:col>2</xdr:col>
      <xdr:colOff>0</xdr:colOff>
      <xdr:row>50</xdr:row>
      <xdr:rowOff>0</xdr:rowOff>
    </xdr:from>
    <xdr:to>
      <xdr:col>2</xdr:col>
      <xdr:colOff>135800</xdr:colOff>
      <xdr:row>50</xdr:row>
      <xdr:rowOff>135800</xdr:rowOff>
    </xdr:to>
    <xdr:pic>
      <xdr:nvPicPr>
        <xdr:cNvPr id="129" name="Picture 128">
          <a:hlinkClick xmlns:r="http://schemas.openxmlformats.org/officeDocument/2006/relationships" r:id="rId2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8286750"/>
          <a:ext cx="135800" cy="135800"/>
        </a:xfrm>
        <a:prstGeom prst="rect">
          <a:avLst/>
        </a:prstGeom>
      </xdr:spPr>
    </xdr:pic>
    <xdr:clientData fPrintsWithSheet="0"/>
  </xdr:twoCellAnchor>
  <xdr:twoCellAnchor editAs="oneCell">
    <xdr:from>
      <xdr:col>1</xdr:col>
      <xdr:colOff>1042451</xdr:colOff>
      <xdr:row>91</xdr:row>
      <xdr:rowOff>0</xdr:rowOff>
    </xdr:from>
    <xdr:to>
      <xdr:col>1</xdr:col>
      <xdr:colOff>1181992</xdr:colOff>
      <xdr:row>91</xdr:row>
      <xdr:rowOff>137160</xdr:rowOff>
    </xdr:to>
    <xdr:pic>
      <xdr:nvPicPr>
        <xdr:cNvPr id="130" name="Picture 129">
          <a:hlinkClick xmlns:r="http://schemas.openxmlformats.org/officeDocument/2006/relationships" r:id="rId108" tooltip="Go back to projected invento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1042451" y="14030325"/>
          <a:ext cx="139541" cy="137160"/>
        </a:xfrm>
        <a:prstGeom prst="rect">
          <a:avLst/>
        </a:prstGeom>
      </xdr:spPr>
    </xdr:pic>
    <xdr:clientData fPrintsWithSheet="0"/>
  </xdr:twoCellAnchor>
  <xdr:twoCellAnchor editAs="oneCell">
    <xdr:from>
      <xdr:col>3</xdr:col>
      <xdr:colOff>661052</xdr:colOff>
      <xdr:row>7</xdr:row>
      <xdr:rowOff>0</xdr:rowOff>
    </xdr:from>
    <xdr:to>
      <xdr:col>3</xdr:col>
      <xdr:colOff>826999</xdr:colOff>
      <xdr:row>7</xdr:row>
      <xdr:rowOff>182879</xdr:rowOff>
    </xdr:to>
    <xdr:pic>
      <xdr:nvPicPr>
        <xdr:cNvPr id="131" name="Picture 130">
          <a:hlinkClick xmlns:r="http://schemas.openxmlformats.org/officeDocument/2006/relationships" r:id="rId4" tooltip="Go back to General Info to change how you sell your produc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2377" y="1104900"/>
          <a:ext cx="165947" cy="182879"/>
        </a:xfrm>
        <a:prstGeom prst="rect">
          <a:avLst/>
        </a:prstGeom>
      </xdr:spPr>
    </xdr:pic>
    <xdr:clientData fPrintsWithSheet="0"/>
  </xdr:twoCellAnchor>
  <xdr:twoCellAnchor editAs="oneCell">
    <xdr:from>
      <xdr:col>2</xdr:col>
      <xdr:colOff>0</xdr:colOff>
      <xdr:row>91</xdr:row>
      <xdr:rowOff>0</xdr:rowOff>
    </xdr:from>
    <xdr:to>
      <xdr:col>2</xdr:col>
      <xdr:colOff>137160</xdr:colOff>
      <xdr:row>91</xdr:row>
      <xdr:rowOff>137160</xdr:rowOff>
    </xdr:to>
    <xdr:pic>
      <xdr:nvPicPr>
        <xdr:cNvPr id="132" name="Picture 131">
          <a:hlinkClick xmlns:r="http://schemas.openxmlformats.org/officeDocument/2006/relationships" r:id="rId10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354175"/>
          <a:ext cx="137160" cy="137160"/>
        </a:xfrm>
        <a:prstGeom prst="rect">
          <a:avLst/>
        </a:prstGeom>
      </xdr:spPr>
    </xdr:pic>
    <xdr:clientData fPrintsWithSheet="0"/>
  </xdr:twoCellAnchor>
  <xdr:twoCellAnchor editAs="oneCell">
    <xdr:from>
      <xdr:col>2</xdr:col>
      <xdr:colOff>0</xdr:colOff>
      <xdr:row>92</xdr:row>
      <xdr:rowOff>0</xdr:rowOff>
    </xdr:from>
    <xdr:to>
      <xdr:col>2</xdr:col>
      <xdr:colOff>137160</xdr:colOff>
      <xdr:row>92</xdr:row>
      <xdr:rowOff>137160</xdr:rowOff>
    </xdr:to>
    <xdr:pic>
      <xdr:nvPicPr>
        <xdr:cNvPr id="133" name="Picture 132">
          <a:hlinkClick xmlns:r="http://schemas.openxmlformats.org/officeDocument/2006/relationships" r:id="rId10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516100"/>
          <a:ext cx="137160" cy="137160"/>
        </a:xfrm>
        <a:prstGeom prst="rect">
          <a:avLst/>
        </a:prstGeom>
      </xdr:spPr>
    </xdr:pic>
    <xdr:clientData fPrintsWithSheet="0"/>
  </xdr:twoCellAnchor>
  <xdr:twoCellAnchor editAs="oneCell">
    <xdr:from>
      <xdr:col>2</xdr:col>
      <xdr:colOff>0</xdr:colOff>
      <xdr:row>90</xdr:row>
      <xdr:rowOff>0</xdr:rowOff>
    </xdr:from>
    <xdr:to>
      <xdr:col>2</xdr:col>
      <xdr:colOff>137160</xdr:colOff>
      <xdr:row>90</xdr:row>
      <xdr:rowOff>137160</xdr:rowOff>
    </xdr:to>
    <xdr:pic>
      <xdr:nvPicPr>
        <xdr:cNvPr id="135" name="Picture 134">
          <a:hlinkClick xmlns:r="http://schemas.openxmlformats.org/officeDocument/2006/relationships" r:id="rId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4030325"/>
          <a:ext cx="137160" cy="137160"/>
        </a:xfrm>
        <a:prstGeom prst="rect">
          <a:avLst/>
        </a:prstGeom>
      </xdr:spPr>
    </xdr:pic>
    <xdr:clientData fPrintsWithSheet="0"/>
  </xdr:twoCellAnchor>
  <xdr:twoCellAnchor editAs="oneCell">
    <xdr:from>
      <xdr:col>2</xdr:col>
      <xdr:colOff>0</xdr:colOff>
      <xdr:row>89</xdr:row>
      <xdr:rowOff>0</xdr:rowOff>
    </xdr:from>
    <xdr:to>
      <xdr:col>2</xdr:col>
      <xdr:colOff>137160</xdr:colOff>
      <xdr:row>89</xdr:row>
      <xdr:rowOff>137160</xdr:rowOff>
    </xdr:to>
    <xdr:pic>
      <xdr:nvPicPr>
        <xdr:cNvPr id="136" name="Picture 135">
          <a:hlinkClick xmlns:r="http://schemas.openxmlformats.org/officeDocument/2006/relationships" r:id="rId10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868400"/>
          <a:ext cx="137160" cy="137160"/>
        </a:xfrm>
        <a:prstGeom prst="rect">
          <a:avLst/>
        </a:prstGeom>
      </xdr:spPr>
    </xdr:pic>
    <xdr:clientData fPrintsWithSheet="0"/>
  </xdr:twoCellAnchor>
  <xdr:twoCellAnchor editAs="oneCell">
    <xdr:from>
      <xdr:col>2</xdr:col>
      <xdr:colOff>0</xdr:colOff>
      <xdr:row>85</xdr:row>
      <xdr:rowOff>0</xdr:rowOff>
    </xdr:from>
    <xdr:to>
      <xdr:col>2</xdr:col>
      <xdr:colOff>137160</xdr:colOff>
      <xdr:row>85</xdr:row>
      <xdr:rowOff>137160</xdr:rowOff>
    </xdr:to>
    <xdr:pic>
      <xdr:nvPicPr>
        <xdr:cNvPr id="140" name="Picture 139">
          <a:hlinkClick xmlns:r="http://schemas.openxmlformats.org/officeDocument/2006/relationships" r:id="rId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220700"/>
          <a:ext cx="137160" cy="137160"/>
        </a:xfrm>
        <a:prstGeom prst="rect">
          <a:avLst/>
        </a:prstGeom>
      </xdr:spPr>
    </xdr:pic>
    <xdr:clientData fPrintsWithSheet="0"/>
  </xdr:twoCellAnchor>
  <xdr:twoCellAnchor editAs="oneCell">
    <xdr:from>
      <xdr:col>2</xdr:col>
      <xdr:colOff>0</xdr:colOff>
      <xdr:row>86</xdr:row>
      <xdr:rowOff>0</xdr:rowOff>
    </xdr:from>
    <xdr:to>
      <xdr:col>2</xdr:col>
      <xdr:colOff>137160</xdr:colOff>
      <xdr:row>86</xdr:row>
      <xdr:rowOff>137160</xdr:rowOff>
    </xdr:to>
    <xdr:pic>
      <xdr:nvPicPr>
        <xdr:cNvPr id="141" name="Picture 140">
          <a:hlinkClick xmlns:r="http://schemas.openxmlformats.org/officeDocument/2006/relationships" r:id="rId10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382625"/>
          <a:ext cx="137160" cy="137160"/>
        </a:xfrm>
        <a:prstGeom prst="rect">
          <a:avLst/>
        </a:prstGeom>
      </xdr:spPr>
    </xdr:pic>
    <xdr:clientData fPrintsWithSheet="0"/>
  </xdr:twoCellAnchor>
  <xdr:twoCellAnchor editAs="oneCell">
    <xdr:from>
      <xdr:col>2</xdr:col>
      <xdr:colOff>0</xdr:colOff>
      <xdr:row>87</xdr:row>
      <xdr:rowOff>0</xdr:rowOff>
    </xdr:from>
    <xdr:to>
      <xdr:col>2</xdr:col>
      <xdr:colOff>137160</xdr:colOff>
      <xdr:row>87</xdr:row>
      <xdr:rowOff>137160</xdr:rowOff>
    </xdr:to>
    <xdr:pic>
      <xdr:nvPicPr>
        <xdr:cNvPr id="142" name="Picture 141">
          <a:hlinkClick xmlns:r="http://schemas.openxmlformats.org/officeDocument/2006/relationships" r:id="rId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544550"/>
          <a:ext cx="137160" cy="137160"/>
        </a:xfrm>
        <a:prstGeom prst="rect">
          <a:avLst/>
        </a:prstGeom>
      </xdr:spPr>
    </xdr:pic>
    <xdr:clientData fPrintsWithSheet="0"/>
  </xdr:twoCellAnchor>
  <xdr:twoCellAnchor editAs="oneCell">
    <xdr:from>
      <xdr:col>2</xdr:col>
      <xdr:colOff>0</xdr:colOff>
      <xdr:row>83</xdr:row>
      <xdr:rowOff>0</xdr:rowOff>
    </xdr:from>
    <xdr:to>
      <xdr:col>2</xdr:col>
      <xdr:colOff>136221</xdr:colOff>
      <xdr:row>83</xdr:row>
      <xdr:rowOff>136221</xdr:rowOff>
    </xdr:to>
    <xdr:pic>
      <xdr:nvPicPr>
        <xdr:cNvPr id="143" name="Picture 142">
          <a:hlinkClick xmlns:r="http://schemas.openxmlformats.org/officeDocument/2006/relationships" r:id="rId2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2896850"/>
          <a:ext cx="136221" cy="136221"/>
        </a:xfrm>
        <a:prstGeom prst="rect">
          <a:avLst/>
        </a:prstGeom>
      </xdr:spPr>
    </xdr:pic>
    <xdr:clientData fPrintsWithSheet="0"/>
  </xdr:twoCellAnchor>
  <xdr:twoCellAnchor editAs="oneCell">
    <xdr:from>
      <xdr:col>2</xdr:col>
      <xdr:colOff>0</xdr:colOff>
      <xdr:row>84</xdr:row>
      <xdr:rowOff>0</xdr:rowOff>
    </xdr:from>
    <xdr:to>
      <xdr:col>2</xdr:col>
      <xdr:colOff>136221</xdr:colOff>
      <xdr:row>84</xdr:row>
      <xdr:rowOff>136221</xdr:rowOff>
    </xdr:to>
    <xdr:pic>
      <xdr:nvPicPr>
        <xdr:cNvPr id="144" name="Picture 143">
          <a:hlinkClick xmlns:r="http://schemas.openxmlformats.org/officeDocument/2006/relationships" r:id="rId2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3058775"/>
          <a:ext cx="136221" cy="136221"/>
        </a:xfrm>
        <a:prstGeom prst="rect">
          <a:avLst/>
        </a:prstGeom>
      </xdr:spPr>
    </xdr:pic>
    <xdr:clientData fPrintsWithSheet="0"/>
  </xdr:twoCellAnchor>
  <xdr:twoCellAnchor editAs="oneCell">
    <xdr:from>
      <xdr:col>2</xdr:col>
      <xdr:colOff>0</xdr:colOff>
      <xdr:row>25</xdr:row>
      <xdr:rowOff>0</xdr:rowOff>
    </xdr:from>
    <xdr:to>
      <xdr:col>2</xdr:col>
      <xdr:colOff>136221</xdr:colOff>
      <xdr:row>25</xdr:row>
      <xdr:rowOff>136221</xdr:rowOff>
    </xdr:to>
    <xdr:pic>
      <xdr:nvPicPr>
        <xdr:cNvPr id="145" name="Picture 144">
          <a:hlinkClick xmlns:r="http://schemas.openxmlformats.org/officeDocument/2006/relationships" r:id="rId11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238625"/>
          <a:ext cx="136221" cy="136221"/>
        </a:xfrm>
        <a:prstGeom prst="rect">
          <a:avLst/>
        </a:prstGeom>
      </xdr:spPr>
    </xdr:pic>
    <xdr:clientData fPrintsWithSheet="0"/>
  </xdr:twoCellAnchor>
  <xdr:twoCellAnchor editAs="oneCell">
    <xdr:from>
      <xdr:col>2</xdr:col>
      <xdr:colOff>0</xdr:colOff>
      <xdr:row>26</xdr:row>
      <xdr:rowOff>0</xdr:rowOff>
    </xdr:from>
    <xdr:to>
      <xdr:col>2</xdr:col>
      <xdr:colOff>136221</xdr:colOff>
      <xdr:row>26</xdr:row>
      <xdr:rowOff>136221</xdr:rowOff>
    </xdr:to>
    <xdr:pic>
      <xdr:nvPicPr>
        <xdr:cNvPr id="146" name="Picture 145">
          <a:hlinkClick xmlns:r="http://schemas.openxmlformats.org/officeDocument/2006/relationships" r:id="rId11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400550"/>
          <a:ext cx="136221" cy="136221"/>
        </a:xfrm>
        <a:prstGeom prst="rect">
          <a:avLst/>
        </a:prstGeom>
      </xdr:spPr>
    </xdr:pic>
    <xdr:clientData fPrintsWithSheet="0"/>
  </xdr:twoCellAnchor>
  <xdr:twoCellAnchor editAs="oneCell">
    <xdr:from>
      <xdr:col>2</xdr:col>
      <xdr:colOff>0</xdr:colOff>
      <xdr:row>27</xdr:row>
      <xdr:rowOff>0</xdr:rowOff>
    </xdr:from>
    <xdr:to>
      <xdr:col>2</xdr:col>
      <xdr:colOff>136221</xdr:colOff>
      <xdr:row>27</xdr:row>
      <xdr:rowOff>136221</xdr:rowOff>
    </xdr:to>
    <xdr:pic>
      <xdr:nvPicPr>
        <xdr:cNvPr id="147" name="Picture 146">
          <a:hlinkClick xmlns:r="http://schemas.openxmlformats.org/officeDocument/2006/relationships" r:id="rId11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4562475"/>
          <a:ext cx="136221" cy="136221"/>
        </a:xfrm>
        <a:prstGeom prst="rect">
          <a:avLst/>
        </a:prstGeom>
      </xdr:spPr>
    </xdr:pic>
    <xdr:clientData fPrintsWithSheet="0"/>
  </xdr:twoCellAnchor>
  <xdr:twoCellAnchor editAs="oneCell">
    <xdr:from>
      <xdr:col>2</xdr:col>
      <xdr:colOff>0</xdr:colOff>
      <xdr:row>30</xdr:row>
      <xdr:rowOff>0</xdr:rowOff>
    </xdr:from>
    <xdr:to>
      <xdr:col>2</xdr:col>
      <xdr:colOff>136221</xdr:colOff>
      <xdr:row>30</xdr:row>
      <xdr:rowOff>136221</xdr:rowOff>
    </xdr:to>
    <xdr:pic>
      <xdr:nvPicPr>
        <xdr:cNvPr id="148" name="Picture 147">
          <a:hlinkClick xmlns:r="http://schemas.openxmlformats.org/officeDocument/2006/relationships" r:id="rId11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048250"/>
          <a:ext cx="136221" cy="136221"/>
        </a:xfrm>
        <a:prstGeom prst="rect">
          <a:avLst/>
        </a:prstGeom>
      </xdr:spPr>
    </xdr:pic>
    <xdr:clientData fPrintsWithSheet="0"/>
  </xdr:twoCellAnchor>
  <xdr:twoCellAnchor editAs="oneCell">
    <xdr:from>
      <xdr:col>2</xdr:col>
      <xdr:colOff>0</xdr:colOff>
      <xdr:row>31</xdr:row>
      <xdr:rowOff>0</xdr:rowOff>
    </xdr:from>
    <xdr:to>
      <xdr:col>2</xdr:col>
      <xdr:colOff>136221</xdr:colOff>
      <xdr:row>31</xdr:row>
      <xdr:rowOff>136221</xdr:rowOff>
    </xdr:to>
    <xdr:pic>
      <xdr:nvPicPr>
        <xdr:cNvPr id="149" name="Picture 148">
          <a:hlinkClick xmlns:r="http://schemas.openxmlformats.org/officeDocument/2006/relationships" r:id="rId11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210175"/>
          <a:ext cx="136221" cy="136221"/>
        </a:xfrm>
        <a:prstGeom prst="rect">
          <a:avLst/>
        </a:prstGeom>
      </xdr:spPr>
    </xdr:pic>
    <xdr:clientData fPrintsWithSheet="0"/>
  </xdr:twoCellAnchor>
  <xdr:twoCellAnchor editAs="oneCell">
    <xdr:from>
      <xdr:col>2</xdr:col>
      <xdr:colOff>0</xdr:colOff>
      <xdr:row>32</xdr:row>
      <xdr:rowOff>0</xdr:rowOff>
    </xdr:from>
    <xdr:to>
      <xdr:col>2</xdr:col>
      <xdr:colOff>136221</xdr:colOff>
      <xdr:row>32</xdr:row>
      <xdr:rowOff>136221</xdr:rowOff>
    </xdr:to>
    <xdr:pic>
      <xdr:nvPicPr>
        <xdr:cNvPr id="150" name="Picture 149">
          <a:hlinkClick xmlns:r="http://schemas.openxmlformats.org/officeDocument/2006/relationships" r:id="rId11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372100"/>
          <a:ext cx="136221" cy="136221"/>
        </a:xfrm>
        <a:prstGeom prst="rect">
          <a:avLst/>
        </a:prstGeom>
      </xdr:spPr>
    </xdr:pic>
    <xdr:clientData fPrintsWithSheet="0"/>
  </xdr:twoCellAnchor>
  <xdr:twoCellAnchor editAs="oneCell">
    <xdr:from>
      <xdr:col>2</xdr:col>
      <xdr:colOff>0</xdr:colOff>
      <xdr:row>33</xdr:row>
      <xdr:rowOff>0</xdr:rowOff>
    </xdr:from>
    <xdr:to>
      <xdr:col>2</xdr:col>
      <xdr:colOff>136221</xdr:colOff>
      <xdr:row>33</xdr:row>
      <xdr:rowOff>136221</xdr:rowOff>
    </xdr:to>
    <xdr:pic>
      <xdr:nvPicPr>
        <xdr:cNvPr id="151" name="Picture 150">
          <a:hlinkClick xmlns:r="http://schemas.openxmlformats.org/officeDocument/2006/relationships" r:id="rId11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534025"/>
          <a:ext cx="136221" cy="136221"/>
        </a:xfrm>
        <a:prstGeom prst="rect">
          <a:avLst/>
        </a:prstGeom>
      </xdr:spPr>
    </xdr:pic>
    <xdr:clientData fPrintsWithSheet="0"/>
  </xdr:twoCellAnchor>
  <xdr:twoCellAnchor editAs="oneCell">
    <xdr:from>
      <xdr:col>2</xdr:col>
      <xdr:colOff>0</xdr:colOff>
      <xdr:row>34</xdr:row>
      <xdr:rowOff>0</xdr:rowOff>
    </xdr:from>
    <xdr:to>
      <xdr:col>2</xdr:col>
      <xdr:colOff>136221</xdr:colOff>
      <xdr:row>34</xdr:row>
      <xdr:rowOff>136221</xdr:rowOff>
    </xdr:to>
    <xdr:pic>
      <xdr:nvPicPr>
        <xdr:cNvPr id="152" name="Picture 151">
          <a:hlinkClick xmlns:r="http://schemas.openxmlformats.org/officeDocument/2006/relationships" r:id="rId11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695950"/>
          <a:ext cx="136221" cy="136221"/>
        </a:xfrm>
        <a:prstGeom prst="rect">
          <a:avLst/>
        </a:prstGeom>
      </xdr:spPr>
    </xdr:pic>
    <xdr:clientData fPrintsWithSheet="0"/>
  </xdr:twoCellAnchor>
  <xdr:twoCellAnchor editAs="oneCell">
    <xdr:from>
      <xdr:col>2</xdr:col>
      <xdr:colOff>0</xdr:colOff>
      <xdr:row>35</xdr:row>
      <xdr:rowOff>0</xdr:rowOff>
    </xdr:from>
    <xdr:to>
      <xdr:col>2</xdr:col>
      <xdr:colOff>136221</xdr:colOff>
      <xdr:row>35</xdr:row>
      <xdr:rowOff>136221</xdr:rowOff>
    </xdr:to>
    <xdr:pic>
      <xdr:nvPicPr>
        <xdr:cNvPr id="153" name="Picture 152">
          <a:hlinkClick xmlns:r="http://schemas.openxmlformats.org/officeDocument/2006/relationships" r:id="rId118"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5857875"/>
          <a:ext cx="136221" cy="136221"/>
        </a:xfrm>
        <a:prstGeom prst="rect">
          <a:avLst/>
        </a:prstGeom>
      </xdr:spPr>
    </xdr:pic>
    <xdr:clientData fPrintsWithSheet="0"/>
  </xdr:twoCellAnchor>
  <xdr:twoCellAnchor editAs="oneCell">
    <xdr:from>
      <xdr:col>2</xdr:col>
      <xdr:colOff>0</xdr:colOff>
      <xdr:row>36</xdr:row>
      <xdr:rowOff>0</xdr:rowOff>
    </xdr:from>
    <xdr:to>
      <xdr:col>2</xdr:col>
      <xdr:colOff>136221</xdr:colOff>
      <xdr:row>36</xdr:row>
      <xdr:rowOff>136221</xdr:rowOff>
    </xdr:to>
    <xdr:pic>
      <xdr:nvPicPr>
        <xdr:cNvPr id="154" name="Picture 153">
          <a:hlinkClick xmlns:r="http://schemas.openxmlformats.org/officeDocument/2006/relationships" r:id="rId11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019800"/>
          <a:ext cx="136221" cy="136221"/>
        </a:xfrm>
        <a:prstGeom prst="rect">
          <a:avLst/>
        </a:prstGeom>
      </xdr:spPr>
    </xdr:pic>
    <xdr:clientData fPrintsWithSheet="0"/>
  </xdr:twoCellAnchor>
  <xdr:twoCellAnchor editAs="oneCell">
    <xdr:from>
      <xdr:col>2</xdr:col>
      <xdr:colOff>0</xdr:colOff>
      <xdr:row>37</xdr:row>
      <xdr:rowOff>0</xdr:rowOff>
    </xdr:from>
    <xdr:to>
      <xdr:col>2</xdr:col>
      <xdr:colOff>136221</xdr:colOff>
      <xdr:row>37</xdr:row>
      <xdr:rowOff>136221</xdr:rowOff>
    </xdr:to>
    <xdr:pic>
      <xdr:nvPicPr>
        <xdr:cNvPr id="155" name="Picture 154">
          <a:hlinkClick xmlns:r="http://schemas.openxmlformats.org/officeDocument/2006/relationships" r:id="rId12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181725"/>
          <a:ext cx="136221" cy="136221"/>
        </a:xfrm>
        <a:prstGeom prst="rect">
          <a:avLst/>
        </a:prstGeom>
      </xdr:spPr>
    </xdr:pic>
    <xdr:clientData fPrintsWithSheet="0"/>
  </xdr:twoCellAnchor>
  <xdr:twoCellAnchor editAs="oneCell">
    <xdr:from>
      <xdr:col>2</xdr:col>
      <xdr:colOff>0</xdr:colOff>
      <xdr:row>39</xdr:row>
      <xdr:rowOff>0</xdr:rowOff>
    </xdr:from>
    <xdr:to>
      <xdr:col>2</xdr:col>
      <xdr:colOff>136221</xdr:colOff>
      <xdr:row>39</xdr:row>
      <xdr:rowOff>136221</xdr:rowOff>
    </xdr:to>
    <xdr:pic>
      <xdr:nvPicPr>
        <xdr:cNvPr id="156" name="Picture 155">
          <a:hlinkClick xmlns:r="http://schemas.openxmlformats.org/officeDocument/2006/relationships" r:id="rId12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505575"/>
          <a:ext cx="136221" cy="136221"/>
        </a:xfrm>
        <a:prstGeom prst="rect">
          <a:avLst/>
        </a:prstGeom>
      </xdr:spPr>
    </xdr:pic>
    <xdr:clientData fPrintsWithSheet="0"/>
  </xdr:twoCellAnchor>
  <xdr:twoCellAnchor editAs="oneCell">
    <xdr:from>
      <xdr:col>2</xdr:col>
      <xdr:colOff>0</xdr:colOff>
      <xdr:row>40</xdr:row>
      <xdr:rowOff>0</xdr:rowOff>
    </xdr:from>
    <xdr:to>
      <xdr:col>2</xdr:col>
      <xdr:colOff>136221</xdr:colOff>
      <xdr:row>40</xdr:row>
      <xdr:rowOff>136221</xdr:rowOff>
    </xdr:to>
    <xdr:pic>
      <xdr:nvPicPr>
        <xdr:cNvPr id="157" name="Picture 156">
          <a:hlinkClick xmlns:r="http://schemas.openxmlformats.org/officeDocument/2006/relationships" r:id="rId12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667500"/>
          <a:ext cx="136221" cy="136221"/>
        </a:xfrm>
        <a:prstGeom prst="rect">
          <a:avLst/>
        </a:prstGeom>
      </xdr:spPr>
    </xdr:pic>
    <xdr:clientData fPrintsWithSheet="0"/>
  </xdr:twoCellAnchor>
  <xdr:twoCellAnchor editAs="oneCell">
    <xdr:from>
      <xdr:col>2</xdr:col>
      <xdr:colOff>0</xdr:colOff>
      <xdr:row>41</xdr:row>
      <xdr:rowOff>0</xdr:rowOff>
    </xdr:from>
    <xdr:to>
      <xdr:col>2</xdr:col>
      <xdr:colOff>136221</xdr:colOff>
      <xdr:row>41</xdr:row>
      <xdr:rowOff>136221</xdr:rowOff>
    </xdr:to>
    <xdr:pic>
      <xdr:nvPicPr>
        <xdr:cNvPr id="158" name="Picture 157">
          <a:hlinkClick xmlns:r="http://schemas.openxmlformats.org/officeDocument/2006/relationships" r:id="rId123"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829425"/>
          <a:ext cx="136221" cy="136221"/>
        </a:xfrm>
        <a:prstGeom prst="rect">
          <a:avLst/>
        </a:prstGeom>
      </xdr:spPr>
    </xdr:pic>
    <xdr:clientData fPrintsWithSheet="0"/>
  </xdr:twoCellAnchor>
  <xdr:twoCellAnchor editAs="oneCell">
    <xdr:from>
      <xdr:col>2</xdr:col>
      <xdr:colOff>0</xdr:colOff>
      <xdr:row>43</xdr:row>
      <xdr:rowOff>0</xdr:rowOff>
    </xdr:from>
    <xdr:to>
      <xdr:col>2</xdr:col>
      <xdr:colOff>136221</xdr:colOff>
      <xdr:row>43</xdr:row>
      <xdr:rowOff>136221</xdr:rowOff>
    </xdr:to>
    <xdr:pic>
      <xdr:nvPicPr>
        <xdr:cNvPr id="160" name="Picture 159">
          <a:hlinkClick xmlns:r="http://schemas.openxmlformats.org/officeDocument/2006/relationships" r:id="rId124"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153275"/>
          <a:ext cx="136221" cy="136221"/>
        </a:xfrm>
        <a:prstGeom prst="rect">
          <a:avLst/>
        </a:prstGeom>
      </xdr:spPr>
    </xdr:pic>
    <xdr:clientData fPrintsWithSheet="0"/>
  </xdr:twoCellAnchor>
  <xdr:twoCellAnchor editAs="oneCell">
    <xdr:from>
      <xdr:col>2</xdr:col>
      <xdr:colOff>0</xdr:colOff>
      <xdr:row>47</xdr:row>
      <xdr:rowOff>0</xdr:rowOff>
    </xdr:from>
    <xdr:to>
      <xdr:col>2</xdr:col>
      <xdr:colOff>136221</xdr:colOff>
      <xdr:row>47</xdr:row>
      <xdr:rowOff>136221</xdr:rowOff>
    </xdr:to>
    <xdr:pic>
      <xdr:nvPicPr>
        <xdr:cNvPr id="161" name="Picture 160">
          <a:hlinkClick xmlns:r="http://schemas.openxmlformats.org/officeDocument/2006/relationships" r:id="rId125"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800975"/>
          <a:ext cx="136221" cy="136221"/>
        </a:xfrm>
        <a:prstGeom prst="rect">
          <a:avLst/>
        </a:prstGeom>
      </xdr:spPr>
    </xdr:pic>
    <xdr:clientData fPrintsWithSheet="0"/>
  </xdr:twoCellAnchor>
  <xdr:twoCellAnchor editAs="oneCell">
    <xdr:from>
      <xdr:col>2</xdr:col>
      <xdr:colOff>0</xdr:colOff>
      <xdr:row>48</xdr:row>
      <xdr:rowOff>0</xdr:rowOff>
    </xdr:from>
    <xdr:to>
      <xdr:col>2</xdr:col>
      <xdr:colOff>136221</xdr:colOff>
      <xdr:row>48</xdr:row>
      <xdr:rowOff>136221</xdr:rowOff>
    </xdr:to>
    <xdr:pic>
      <xdr:nvPicPr>
        <xdr:cNvPr id="162" name="Picture 161">
          <a:hlinkClick xmlns:r="http://schemas.openxmlformats.org/officeDocument/2006/relationships" r:id="rId12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7962900"/>
          <a:ext cx="136221" cy="136221"/>
        </a:xfrm>
        <a:prstGeom prst="rect">
          <a:avLst/>
        </a:prstGeom>
      </xdr:spPr>
    </xdr:pic>
    <xdr:clientData fPrintsWithSheet="0"/>
  </xdr:twoCellAnchor>
  <xdr:oneCellAnchor>
    <xdr:from>
      <xdr:col>2</xdr:col>
      <xdr:colOff>0</xdr:colOff>
      <xdr:row>71</xdr:row>
      <xdr:rowOff>469</xdr:rowOff>
    </xdr:from>
    <xdr:ext cx="136221" cy="136221"/>
    <xdr:pic>
      <xdr:nvPicPr>
        <xdr:cNvPr id="163" name="Picture 162">
          <a:hlinkClick xmlns:r="http://schemas.openxmlformats.org/officeDocument/2006/relationships" r:id="rId2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11554294"/>
          <a:ext cx="136221" cy="136221"/>
        </a:xfrm>
        <a:prstGeom prst="rect">
          <a:avLst/>
        </a:prstGeom>
      </xdr:spPr>
    </xdr:pic>
    <xdr:clientData fPrintsWithSheet="0"/>
  </xdr:oneCellAnchor>
  <xdr:twoCellAnchor editAs="oneCell">
    <xdr:from>
      <xdr:col>2</xdr:col>
      <xdr:colOff>0</xdr:colOff>
      <xdr:row>141</xdr:row>
      <xdr:rowOff>0</xdr:rowOff>
    </xdr:from>
    <xdr:to>
      <xdr:col>2</xdr:col>
      <xdr:colOff>136221</xdr:colOff>
      <xdr:row>141</xdr:row>
      <xdr:rowOff>136221</xdr:rowOff>
    </xdr:to>
    <xdr:pic>
      <xdr:nvPicPr>
        <xdr:cNvPr id="164" name="Picture 163">
          <a:hlinkClick xmlns:r="http://schemas.openxmlformats.org/officeDocument/2006/relationships" r:id="rId52"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28950" y="21445538"/>
          <a:ext cx="136221" cy="136221"/>
        </a:xfrm>
        <a:prstGeom prst="rect">
          <a:avLst/>
        </a:prstGeom>
      </xdr:spPr>
    </xdr:pic>
    <xdr:clientData fPrintsWithSheet="0"/>
  </xdr:twoCellAnchor>
  <xdr:twoCellAnchor editAs="oneCell">
    <xdr:from>
      <xdr:col>2</xdr:col>
      <xdr:colOff>0</xdr:colOff>
      <xdr:row>151</xdr:row>
      <xdr:rowOff>0</xdr:rowOff>
    </xdr:from>
    <xdr:to>
      <xdr:col>2</xdr:col>
      <xdr:colOff>136221</xdr:colOff>
      <xdr:row>151</xdr:row>
      <xdr:rowOff>136221</xdr:rowOff>
    </xdr:to>
    <xdr:pic>
      <xdr:nvPicPr>
        <xdr:cNvPr id="165" name="Picture 164">
          <a:hlinkClick xmlns:r="http://schemas.openxmlformats.org/officeDocument/2006/relationships" r:id="rId127"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28950" y="22755225"/>
          <a:ext cx="136221" cy="136221"/>
        </a:xfrm>
        <a:prstGeom prst="rect">
          <a:avLst/>
        </a:prstGeom>
      </xdr:spPr>
    </xdr:pic>
    <xdr:clientData fPrintsWithSheet="0"/>
  </xdr:twoCellAnchor>
  <xdr:twoCellAnchor editAs="oneCell">
    <xdr:from>
      <xdr:col>1</xdr:col>
      <xdr:colOff>1462607</xdr:colOff>
      <xdr:row>151</xdr:row>
      <xdr:rowOff>0</xdr:rowOff>
    </xdr:from>
    <xdr:to>
      <xdr:col>1</xdr:col>
      <xdr:colOff>1602148</xdr:colOff>
      <xdr:row>151</xdr:row>
      <xdr:rowOff>137160</xdr:rowOff>
    </xdr:to>
    <xdr:pic>
      <xdr:nvPicPr>
        <xdr:cNvPr id="166" name="Picture 165">
          <a:hlinkClick xmlns:r="http://schemas.openxmlformats.org/officeDocument/2006/relationships" r:id="rId128" tooltip="Go back to projected inventory"/>
        </xdr:cNvPr>
        <xdr:cNvPicPr>
          <a:picLocks noChangeAspect="1"/>
        </xdr:cNvPicPr>
      </xdr:nvPicPr>
      <xdr:blipFill>
        <a:blip xmlns:r="http://schemas.openxmlformats.org/officeDocument/2006/relationships" r:embed="rId95" cstate="print">
          <a:extLst>
            <a:ext uri="{28A0092B-C50C-407E-A947-70E740481C1C}">
              <a14:useLocalDpi xmlns:a14="http://schemas.microsoft.com/office/drawing/2010/main" val="0"/>
            </a:ext>
          </a:extLst>
        </a:blip>
        <a:stretch>
          <a:fillRect/>
        </a:stretch>
      </xdr:blipFill>
      <xdr:spPr>
        <a:xfrm>
          <a:off x="1462607" y="22174200"/>
          <a:ext cx="139541" cy="137160"/>
        </a:xfrm>
        <a:prstGeom prst="rect">
          <a:avLst/>
        </a:prstGeom>
      </xdr:spPr>
    </xdr:pic>
    <xdr:clientData fPrintsWithSheet="0"/>
  </xdr:twoCellAnchor>
  <xdr:twoCellAnchor editAs="oneCell">
    <xdr:from>
      <xdr:col>2</xdr:col>
      <xdr:colOff>0</xdr:colOff>
      <xdr:row>194</xdr:row>
      <xdr:rowOff>0</xdr:rowOff>
    </xdr:from>
    <xdr:to>
      <xdr:col>2</xdr:col>
      <xdr:colOff>136221</xdr:colOff>
      <xdr:row>194</xdr:row>
      <xdr:rowOff>136221</xdr:rowOff>
    </xdr:to>
    <xdr:pic>
      <xdr:nvPicPr>
        <xdr:cNvPr id="167" name="Picture 166">
          <a:hlinkClick xmlns:r="http://schemas.openxmlformats.org/officeDocument/2006/relationships" r:id="rId12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249033"/>
          <a:ext cx="136221" cy="136221"/>
        </a:xfrm>
        <a:prstGeom prst="rect">
          <a:avLst/>
        </a:prstGeom>
      </xdr:spPr>
    </xdr:pic>
    <xdr:clientData fPrintsWithSheet="0"/>
  </xdr:twoCellAnchor>
  <xdr:twoCellAnchor editAs="oneCell">
    <xdr:from>
      <xdr:col>2</xdr:col>
      <xdr:colOff>0</xdr:colOff>
      <xdr:row>196</xdr:row>
      <xdr:rowOff>0</xdr:rowOff>
    </xdr:from>
    <xdr:to>
      <xdr:col>2</xdr:col>
      <xdr:colOff>136221</xdr:colOff>
      <xdr:row>196</xdr:row>
      <xdr:rowOff>136221</xdr:rowOff>
    </xdr:to>
    <xdr:pic>
      <xdr:nvPicPr>
        <xdr:cNvPr id="168" name="Picture 167">
          <a:hlinkClick xmlns:r="http://schemas.openxmlformats.org/officeDocument/2006/relationships" r:id="rId130"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409900"/>
          <a:ext cx="136221" cy="136221"/>
        </a:xfrm>
        <a:prstGeom prst="rect">
          <a:avLst/>
        </a:prstGeom>
      </xdr:spPr>
    </xdr:pic>
    <xdr:clientData fPrintsWithSheet="0"/>
  </xdr:twoCellAnchor>
  <xdr:oneCellAnchor>
    <xdr:from>
      <xdr:col>2</xdr:col>
      <xdr:colOff>0</xdr:colOff>
      <xdr:row>195</xdr:row>
      <xdr:rowOff>0</xdr:rowOff>
    </xdr:from>
    <xdr:ext cx="136221" cy="136221"/>
    <xdr:pic>
      <xdr:nvPicPr>
        <xdr:cNvPr id="169" name="Picture 168">
          <a:hlinkClick xmlns:r="http://schemas.openxmlformats.org/officeDocument/2006/relationships" r:id="rId131"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52233" y="28570767"/>
          <a:ext cx="136221" cy="136221"/>
        </a:xfrm>
        <a:prstGeom prst="rect">
          <a:avLst/>
        </a:prstGeom>
      </xdr:spPr>
    </xdr:pic>
    <xdr:clientData fPrintsWithSheet="0"/>
  </xdr:oneCellAnchor>
  <xdr:twoCellAnchor editAs="absolute">
    <xdr:from>
      <xdr:col>9</xdr:col>
      <xdr:colOff>277290</xdr:colOff>
      <xdr:row>0</xdr:row>
      <xdr:rowOff>147637</xdr:rowOff>
    </xdr:from>
    <xdr:to>
      <xdr:col>11</xdr:col>
      <xdr:colOff>323850</xdr:colOff>
      <xdr:row>4</xdr:row>
      <xdr:rowOff>22119</xdr:rowOff>
    </xdr:to>
    <xdr:sp macro="[0]!PrintBS_Final" textlink="">
      <xdr:nvSpPr>
        <xdr:cNvPr id="170" name="Rectangle 169">
          <a:hlinkClick xmlns:r="http://schemas.openxmlformats.org/officeDocument/2006/relationships" r:id="rId132" tooltip="Go to Projected Inventory"/>
        </xdr:cNvPr>
        <xdr:cNvSpPr/>
      </xdr:nvSpPr>
      <xdr:spPr>
        <a:xfrm>
          <a:off x="8106840" y="147637"/>
          <a:ext cx="1551510" cy="550757"/>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8. Go</a:t>
          </a:r>
          <a:r>
            <a:rPr lang="en-US" sz="1400" b="1" baseline="0"/>
            <a:t> to </a:t>
          </a:r>
          <a:r>
            <a:rPr lang="en-US" sz="1400" b="1"/>
            <a:t>Projected Inventory</a:t>
          </a:r>
        </a:p>
      </xdr:txBody>
    </xdr:sp>
    <xdr:clientData fPrintsWithSheet="0"/>
  </xdr:twoCellAnchor>
  <xdr:twoCellAnchor editAs="absolute">
    <xdr:from>
      <xdr:col>7</xdr:col>
      <xdr:colOff>294213</xdr:colOff>
      <xdr:row>0</xdr:row>
      <xdr:rowOff>147637</xdr:rowOff>
    </xdr:from>
    <xdr:to>
      <xdr:col>9</xdr:col>
      <xdr:colOff>234946</xdr:colOff>
      <xdr:row>4</xdr:row>
      <xdr:rowOff>22119</xdr:rowOff>
    </xdr:to>
    <xdr:sp macro="[0]!PrintBS_Final" textlink="">
      <xdr:nvSpPr>
        <xdr:cNvPr id="171" name="Rectangle 170">
          <a:hlinkClick xmlns:r="http://schemas.openxmlformats.org/officeDocument/2006/relationships" r:id="rId94" tooltip="Go to Proposed Loans"/>
        </xdr:cNvPr>
        <xdr:cNvSpPr/>
      </xdr:nvSpPr>
      <xdr:spPr>
        <a:xfrm>
          <a:off x="6618813" y="147637"/>
          <a:ext cx="1445683" cy="550757"/>
        </a:xfrm>
        <a:prstGeom prst="rect">
          <a:avLst/>
        </a:prstGeom>
        <a:solidFill>
          <a:srgbClr val="434953"/>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400" b="1"/>
            <a:t>7. Go</a:t>
          </a:r>
          <a:r>
            <a:rPr lang="en-US" sz="1400" b="1" baseline="0"/>
            <a:t> to </a:t>
          </a:r>
          <a:r>
            <a:rPr lang="en-US" sz="1400" b="1"/>
            <a:t>Proposed Loans</a:t>
          </a:r>
        </a:p>
      </xdr:txBody>
    </xdr:sp>
    <xdr:clientData fPrintsWithSheet="0"/>
  </xdr:twoCellAnchor>
  <xdr:twoCellAnchor editAs="oneCell">
    <xdr:from>
      <xdr:col>2</xdr:col>
      <xdr:colOff>0</xdr:colOff>
      <xdr:row>42</xdr:row>
      <xdr:rowOff>0</xdr:rowOff>
    </xdr:from>
    <xdr:to>
      <xdr:col>2</xdr:col>
      <xdr:colOff>136221</xdr:colOff>
      <xdr:row>42</xdr:row>
      <xdr:rowOff>136221</xdr:rowOff>
    </xdr:to>
    <xdr:pic>
      <xdr:nvPicPr>
        <xdr:cNvPr id="172" name="Picture 171">
          <a:hlinkClick xmlns:r="http://schemas.openxmlformats.org/officeDocument/2006/relationships" r:id="rId116"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6667500"/>
          <a:ext cx="136221" cy="136221"/>
        </a:xfrm>
        <a:prstGeom prst="rect">
          <a:avLst/>
        </a:prstGeom>
      </xdr:spPr>
    </xdr:pic>
    <xdr:clientData fPrintsWithSheet="0"/>
  </xdr:twoCellAnchor>
  <xdr:twoCellAnchor editAs="oneCell">
    <xdr:from>
      <xdr:col>2</xdr:col>
      <xdr:colOff>0</xdr:colOff>
      <xdr:row>59</xdr:row>
      <xdr:rowOff>0</xdr:rowOff>
    </xdr:from>
    <xdr:to>
      <xdr:col>2</xdr:col>
      <xdr:colOff>136221</xdr:colOff>
      <xdr:row>59</xdr:row>
      <xdr:rowOff>136221</xdr:rowOff>
    </xdr:to>
    <xdr:pic>
      <xdr:nvPicPr>
        <xdr:cNvPr id="173" name="Picture 172">
          <a:hlinkClick xmlns:r="http://schemas.openxmlformats.org/officeDocument/2006/relationships" r:id="rId19" tooltip="Go back to annual summary"/>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28925" y="9315450"/>
          <a:ext cx="136221" cy="136221"/>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xdr:col>
          <xdr:colOff>2895600</xdr:colOff>
          <xdr:row>158</xdr:row>
          <xdr:rowOff>47625</xdr:rowOff>
        </xdr:from>
        <xdr:to>
          <xdr:col>4</xdr:col>
          <xdr:colOff>904875</xdr:colOff>
          <xdr:row>160</xdr:row>
          <xdr:rowOff>114300</xdr:rowOff>
        </xdr:to>
        <xdr:sp macro="" textlink="">
          <xdr:nvSpPr>
            <xdr:cNvPr id="244737" name="Drop Down 1" hidden="1">
              <a:extLst>
                <a:ext uri="{63B3BB69-23CF-44E3-9099-C40C66FF867C}">
                  <a14:compatExt spid="_x0000_s244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2905125</xdr:colOff>
          <xdr:row>95</xdr:row>
          <xdr:rowOff>38100</xdr:rowOff>
        </xdr:from>
        <xdr:to>
          <xdr:col>4</xdr:col>
          <xdr:colOff>904875</xdr:colOff>
          <xdr:row>99</xdr:row>
          <xdr:rowOff>152400</xdr:rowOff>
        </xdr:to>
        <xdr:sp macro="" textlink="">
          <xdr:nvSpPr>
            <xdr:cNvPr id="244738" name="Drop Down 2" hidden="1">
              <a:extLst>
                <a:ext uri="{63B3BB69-23CF-44E3-9099-C40C66FF867C}">
                  <a14:compatExt spid="_x0000_s2447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oneCell">
    <xdr:from>
      <xdr:col>1</xdr:col>
      <xdr:colOff>29633</xdr:colOff>
      <xdr:row>4</xdr:row>
      <xdr:rowOff>190496</xdr:rowOff>
    </xdr:from>
    <xdr:to>
      <xdr:col>1</xdr:col>
      <xdr:colOff>1168400</xdr:colOff>
      <xdr:row>6</xdr:row>
      <xdr:rowOff>29629</xdr:rowOff>
    </xdr:to>
    <xdr:sp macro="" textlink="">
      <xdr:nvSpPr>
        <xdr:cNvPr id="159" name="Rectangle 158">
          <a:hlinkClick xmlns:r="http://schemas.openxmlformats.org/officeDocument/2006/relationships" r:id="rId133" tooltip="Click to go to the final cash flow plan to print the summarized cash flow plan."/>
        </xdr:cNvPr>
        <xdr:cNvSpPr/>
      </xdr:nvSpPr>
      <xdr:spPr>
        <a:xfrm>
          <a:off x="29633" y="863596"/>
          <a:ext cx="1138767"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Ag</a:t>
          </a:r>
          <a:endParaRPr lang="en-US" sz="1200" b="1"/>
        </a:p>
      </xdr:txBody>
    </xdr:sp>
    <xdr:clientData fPrintsWithSheet="0"/>
  </xdr:twoCellAnchor>
  <xdr:twoCellAnchor editAs="oneCell">
    <xdr:from>
      <xdr:col>1</xdr:col>
      <xdr:colOff>1193799</xdr:colOff>
      <xdr:row>5</xdr:row>
      <xdr:rowOff>4233</xdr:rowOff>
    </xdr:from>
    <xdr:to>
      <xdr:col>1</xdr:col>
      <xdr:colOff>2656839</xdr:colOff>
      <xdr:row>6</xdr:row>
      <xdr:rowOff>33866</xdr:rowOff>
    </xdr:to>
    <xdr:sp macro="" textlink="">
      <xdr:nvSpPr>
        <xdr:cNvPr id="174" name="Rectangle 173">
          <a:hlinkClick xmlns:r="http://schemas.openxmlformats.org/officeDocument/2006/relationships" r:id="rId134" tooltip="Click to go to the final cash flow plan to print the summarized cash flow plan."/>
        </xdr:cNvPr>
        <xdr:cNvSpPr/>
      </xdr:nvSpPr>
      <xdr:spPr>
        <a:xfrm>
          <a:off x="1193799" y="867833"/>
          <a:ext cx="1463040"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Direct Mkt</a:t>
          </a:r>
          <a:endParaRPr lang="en-US" sz="1200" b="1"/>
        </a:p>
      </xdr:txBody>
    </xdr:sp>
    <xdr:clientData fPrintsWithSheet="0"/>
  </xdr:twoCellAnchor>
  <xdr:twoCellAnchor editAs="oneCell">
    <xdr:from>
      <xdr:col>1</xdr:col>
      <xdr:colOff>2692382</xdr:colOff>
      <xdr:row>5</xdr:row>
      <xdr:rowOff>0</xdr:rowOff>
    </xdr:from>
    <xdr:to>
      <xdr:col>3</xdr:col>
      <xdr:colOff>619742</xdr:colOff>
      <xdr:row>6</xdr:row>
      <xdr:rowOff>29633</xdr:rowOff>
    </xdr:to>
    <xdr:sp macro="" textlink="">
      <xdr:nvSpPr>
        <xdr:cNvPr id="175" name="Rectangle 174">
          <a:hlinkClick xmlns:r="http://schemas.openxmlformats.org/officeDocument/2006/relationships" r:id="rId135" tooltip="Click to go to the final cash flow plan to print the summarized cash flow plan."/>
        </xdr:cNvPr>
        <xdr:cNvSpPr/>
      </xdr:nvSpPr>
      <xdr:spPr>
        <a:xfrm>
          <a:off x="2692382" y="863600"/>
          <a:ext cx="1280160" cy="228600"/>
        </a:xfrm>
        <a:prstGeom prst="rect">
          <a:avLst/>
        </a:prstGeom>
        <a:solidFill>
          <a:srgbClr val="4A89D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Jump</a:t>
          </a:r>
          <a:r>
            <a:rPr lang="en-US" sz="1200" b="1" baseline="0"/>
            <a:t> to Personal</a:t>
          </a:r>
          <a:endParaRPr lang="en-US" sz="1200" b="1"/>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0.bin"/><Relationship Id="rId1" Type="http://schemas.openxmlformats.org/officeDocument/2006/relationships/hyperlink" Target="http://ans.farm/FinancialScorecard"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5.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13.xml"/><Relationship Id="rId2" Type="http://schemas.openxmlformats.org/officeDocument/2006/relationships/drawing" Target="../drawings/drawing18.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N25"/>
  <sheetViews>
    <sheetView showGridLines="0" tabSelected="1" workbookViewId="0">
      <selection activeCell="K4" sqref="K4"/>
    </sheetView>
  </sheetViews>
  <sheetFormatPr defaultRowHeight="12.75" x14ac:dyDescent="0.2"/>
  <cols>
    <col min="2" max="2" width="7.140625" customWidth="1"/>
    <col min="3" max="3" width="5.5703125" customWidth="1"/>
    <col min="5" max="5" width="6.7109375" customWidth="1"/>
    <col min="6" max="6" width="2.140625" customWidth="1"/>
    <col min="7" max="7" width="2" customWidth="1"/>
    <col min="8" max="8" width="1.28515625" customWidth="1"/>
    <col min="9" max="9" width="20.140625" customWidth="1"/>
    <col min="10" max="10" width="4.28515625" customWidth="1"/>
    <col min="11" max="11" width="31" customWidth="1"/>
    <col min="12" max="12" width="2.28515625" customWidth="1"/>
  </cols>
  <sheetData>
    <row r="2" spans="9:11" ht="15.75" x14ac:dyDescent="0.25">
      <c r="I2" s="59" t="s">
        <v>74</v>
      </c>
      <c r="K2" s="229">
        <f ca="1">TODAY()</f>
        <v>42856</v>
      </c>
    </row>
    <row r="3" spans="9:11" x14ac:dyDescent="0.2">
      <c r="K3" s="69"/>
    </row>
    <row r="4" spans="9:11" ht="15.75" x14ac:dyDescent="0.25">
      <c r="I4" s="58" t="s">
        <v>61</v>
      </c>
      <c r="K4" s="612"/>
    </row>
    <row r="5" spans="9:11" ht="15.75" x14ac:dyDescent="0.25">
      <c r="I5" s="59" t="s">
        <v>547</v>
      </c>
      <c r="K5" s="612"/>
    </row>
    <row r="6" spans="9:11" ht="15.75" x14ac:dyDescent="0.25">
      <c r="I6" s="59" t="s">
        <v>64</v>
      </c>
      <c r="K6" s="612"/>
    </row>
    <row r="7" spans="9:11" ht="15.75" x14ac:dyDescent="0.25">
      <c r="I7" s="59" t="s">
        <v>62</v>
      </c>
      <c r="K7" s="612"/>
    </row>
    <row r="8" spans="9:11" ht="15.75" x14ac:dyDescent="0.25">
      <c r="I8" s="59" t="s">
        <v>63</v>
      </c>
      <c r="K8" s="612"/>
    </row>
    <row r="9" spans="9:11" ht="15.75" x14ac:dyDescent="0.25">
      <c r="I9" s="59" t="s">
        <v>65</v>
      </c>
      <c r="K9" s="613"/>
    </row>
    <row r="10" spans="9:11" ht="15.75" x14ac:dyDescent="0.25">
      <c r="I10" s="59"/>
      <c r="K10" s="918"/>
    </row>
    <row r="11" spans="9:11" ht="15.75" x14ac:dyDescent="0.25">
      <c r="I11" s="59" t="s">
        <v>554</v>
      </c>
      <c r="K11" s="919">
        <v>42735</v>
      </c>
    </row>
    <row r="12" spans="9:11" x14ac:dyDescent="0.2">
      <c r="I12" s="59"/>
      <c r="K12" s="225"/>
    </row>
    <row r="13" spans="9:11" ht="15.75" x14ac:dyDescent="0.25">
      <c r="I13" s="59" t="s">
        <v>127</v>
      </c>
      <c r="K13" s="614">
        <v>2016</v>
      </c>
    </row>
    <row r="14" spans="9:11" ht="15.75" x14ac:dyDescent="0.25">
      <c r="I14" s="59"/>
      <c r="K14" s="611"/>
    </row>
    <row r="15" spans="9:11" ht="26.25" customHeight="1" x14ac:dyDescent="0.25">
      <c r="I15" s="598" t="s">
        <v>408</v>
      </c>
      <c r="K15" s="614">
        <v>1</v>
      </c>
    </row>
    <row r="16" spans="9:11" x14ac:dyDescent="0.2">
      <c r="I16" s="58"/>
    </row>
    <row r="17" spans="1:14" ht="26.25" customHeight="1" x14ac:dyDescent="0.25">
      <c r="I17" s="598" t="s">
        <v>272</v>
      </c>
      <c r="K17" s="614" t="str">
        <f>IF(ISNUMBER(L17)=TRUE,INDEX(Inputs!$A$18:$A$20,L17),INDEX(Inputs!$A$18:$C$20,MATCH(L17,Inputs!$C$18:$C$20,0),1))</f>
        <v>Both / Either</v>
      </c>
      <c r="L17" s="227">
        <v>3</v>
      </c>
    </row>
    <row r="19" spans="1:14" ht="26.25" customHeight="1" x14ac:dyDescent="0.2">
      <c r="G19" s="942" t="s">
        <v>160</v>
      </c>
      <c r="H19" s="943"/>
      <c r="I19" s="943"/>
      <c r="J19" s="943"/>
      <c r="K19" s="226" t="str">
        <f>IF(ISNUMBER(L22)=TRUE,INDEX(ProjPersText,L22),INDEX(ProjPersText,MATCH(L22,ProjPersText)))</f>
        <v>Both Business and Personal</v>
      </c>
      <c r="L19" s="228">
        <v>2</v>
      </c>
    </row>
    <row r="20" spans="1:14" x14ac:dyDescent="0.2">
      <c r="G20" s="944"/>
      <c r="H20" s="945"/>
      <c r="I20" s="945"/>
      <c r="J20" s="945"/>
      <c r="K20" s="183" t="str">
        <f>IF(ProjPersonal="Just Business Income and Expenses",HYPERLINK("#'Cash Flows'!D10","Go to cash flow detail"),HYPERLINK("#'Cash Flows'!D164","Go to personal details"))</f>
        <v>Go to personal details</v>
      </c>
    </row>
    <row r="21" spans="1:14" x14ac:dyDescent="0.2">
      <c r="K21" s="173"/>
      <c r="N21" s="174"/>
    </row>
    <row r="22" spans="1:14" ht="25.5" customHeight="1" x14ac:dyDescent="0.2">
      <c r="A22" s="946">
        <v>42856</v>
      </c>
      <c r="B22" s="946"/>
      <c r="C22" s="946"/>
      <c r="D22" s="946"/>
      <c r="E22" s="946"/>
      <c r="F22" s="946"/>
      <c r="G22" s="946"/>
      <c r="H22" s="946"/>
      <c r="I22" s="946"/>
      <c r="J22" s="946"/>
      <c r="K22" s="946"/>
      <c r="L22" s="227">
        <v>2</v>
      </c>
    </row>
    <row r="23" spans="1:14" x14ac:dyDescent="0.2">
      <c r="A23" s="947" t="s">
        <v>557</v>
      </c>
      <c r="B23" s="947"/>
      <c r="C23" s="947"/>
      <c r="D23" s="947"/>
      <c r="E23" s="947"/>
      <c r="F23" s="947"/>
      <c r="G23" s="947"/>
      <c r="H23" s="947"/>
      <c r="I23" s="947"/>
      <c r="J23" s="947"/>
      <c r="K23" s="947"/>
    </row>
    <row r="25" spans="1:14" ht="36.75" customHeight="1" x14ac:dyDescent="0.2">
      <c r="A25" s="941" t="s">
        <v>209</v>
      </c>
      <c r="B25" s="941"/>
      <c r="C25" s="941"/>
      <c r="D25" s="941"/>
      <c r="E25" s="941"/>
      <c r="F25" s="941"/>
      <c r="G25" s="941"/>
      <c r="H25" s="941"/>
      <c r="I25" s="941"/>
      <c r="J25" s="941"/>
      <c r="K25" s="941"/>
      <c r="L25" s="941"/>
      <c r="M25" s="941"/>
    </row>
  </sheetData>
  <mergeCells count="4">
    <mergeCell ref="A25:M25"/>
    <mergeCell ref="G19:J20"/>
    <mergeCell ref="A22:K22"/>
    <mergeCell ref="A23:K23"/>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locked="0" defaultSize="0" print="0" autoLine="0" autoPict="0">
                <anchor moveWithCells="1">
                  <from>
                    <xdr:col>9</xdr:col>
                    <xdr:colOff>276225</xdr:colOff>
                    <xdr:row>16</xdr:row>
                    <xdr:rowOff>0</xdr:rowOff>
                  </from>
                  <to>
                    <xdr:col>11</xdr:col>
                    <xdr:colOff>9525</xdr:colOff>
                    <xdr:row>17</xdr:row>
                    <xdr:rowOff>9525</xdr:rowOff>
                  </to>
                </anchor>
              </controlPr>
            </control>
          </mc:Choice>
        </mc:AlternateContent>
        <mc:AlternateContent xmlns:mc="http://schemas.openxmlformats.org/markup-compatibility/2006">
          <mc:Choice Requires="x14">
            <control shapeId="1030" r:id="rId5" name="Drop Down 6">
              <controlPr locked="0" defaultSize="0" print="0" autoLine="0" autoPict="0">
                <anchor moveWithCells="1">
                  <from>
                    <xdr:col>9</xdr:col>
                    <xdr:colOff>266700</xdr:colOff>
                    <xdr:row>18</xdr:row>
                    <xdr:rowOff>9525</xdr:rowOff>
                  </from>
                  <to>
                    <xdr:col>11</xdr:col>
                    <xdr:colOff>9525</xdr:colOff>
                    <xdr:row>19</xdr:row>
                    <xdr:rowOff>0</xdr:rowOff>
                  </to>
                </anchor>
              </controlPr>
            </control>
          </mc:Choice>
        </mc:AlternateContent>
        <mc:AlternateContent xmlns:mc="http://schemas.openxmlformats.org/markup-compatibility/2006">
          <mc:Choice Requires="x14">
            <control shapeId="1031" r:id="rId6" name="NumbOperatorsDropDown">
              <controlPr locked="0" defaultSize="0" print="0" autoLine="0" autoPict="0">
                <anchor moveWithCells="1">
                  <from>
                    <xdr:col>9</xdr:col>
                    <xdr:colOff>276225</xdr:colOff>
                    <xdr:row>13</xdr:row>
                    <xdr:rowOff>190500</xdr:rowOff>
                  </from>
                  <to>
                    <xdr:col>11</xdr:col>
                    <xdr:colOff>9525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34953"/>
  </sheetPr>
  <dimension ref="A1:AJ27"/>
  <sheetViews>
    <sheetView showGridLines="0" workbookViewId="0">
      <selection activeCell="B6" sqref="B6"/>
    </sheetView>
  </sheetViews>
  <sheetFormatPr defaultRowHeight="12.75" x14ac:dyDescent="0.2"/>
  <cols>
    <col min="1" max="1" width="2.85546875" customWidth="1"/>
    <col min="2" max="2" width="21.5703125" customWidth="1"/>
    <col min="3" max="3" width="14.28515625" customWidth="1"/>
    <col min="4" max="4" width="18.42578125" bestFit="1" customWidth="1"/>
    <col min="6" max="6" width="9.7109375" bestFit="1" customWidth="1"/>
    <col min="11" max="11" width="9.5703125" customWidth="1"/>
    <col min="12" max="12" width="9" hidden="1" customWidth="1"/>
    <col min="13" max="13" width="10.85546875" bestFit="1" customWidth="1"/>
    <col min="14" max="14" width="8.85546875" hidden="1" customWidth="1"/>
    <col min="15" max="18" width="6" hidden="1" customWidth="1"/>
    <col min="19" max="19" width="12.140625" hidden="1" customWidth="1"/>
    <col min="20" max="20" width="9" hidden="1" customWidth="1"/>
    <col min="21" max="21" width="9.7109375" hidden="1" customWidth="1"/>
    <col min="22" max="22" width="11.42578125" hidden="1" customWidth="1"/>
    <col min="23" max="25" width="9" hidden="1" customWidth="1"/>
    <col min="26" max="26" width="7.85546875" hidden="1" customWidth="1"/>
    <col min="27" max="27" width="12.7109375" customWidth="1"/>
    <col min="28" max="28" width="12.140625" customWidth="1"/>
    <col min="29" max="29" width="12.7109375" customWidth="1"/>
    <col min="30" max="30" width="11.28515625" style="659" bestFit="1" customWidth="1"/>
    <col min="31" max="31" width="11.28515625" style="659" customWidth="1"/>
    <col min="32" max="32" width="18.42578125" bestFit="1" customWidth="1"/>
    <col min="33" max="33" width="12.28515625" customWidth="1"/>
    <col min="34" max="34" width="11.28515625" bestFit="1" customWidth="1"/>
  </cols>
  <sheetData>
    <row r="1" spans="1:34" s="92" customFormat="1" ht="24.95" customHeight="1" x14ac:dyDescent="0.2">
      <c r="A1" s="458"/>
      <c r="B1" s="1064" t="s">
        <v>208</v>
      </c>
      <c r="C1" s="90"/>
      <c r="D1" s="90"/>
      <c r="E1" s="90"/>
      <c r="F1" s="91"/>
      <c r="G1" s="91"/>
      <c r="H1" s="91"/>
      <c r="I1" s="91"/>
      <c r="J1" s="91"/>
      <c r="K1" s="91"/>
      <c r="L1" s="91"/>
      <c r="AA1" s="955" t="s">
        <v>108</v>
      </c>
      <c r="AB1" s="956">
        <f>AB22+AB30+AB38+AB46</f>
        <v>0</v>
      </c>
      <c r="AD1" s="651"/>
      <c r="AE1" s="651"/>
      <c r="AF1" s="651"/>
      <c r="AG1" s="651"/>
      <c r="AH1" s="651"/>
    </row>
    <row r="2" spans="1:34" s="92" customFormat="1" ht="24.95" customHeight="1" x14ac:dyDescent="0.2">
      <c r="A2" s="458"/>
      <c r="B2" s="1064"/>
      <c r="C2" s="90"/>
      <c r="D2" s="90"/>
      <c r="E2" s="90"/>
      <c r="F2" s="91"/>
      <c r="G2" s="91"/>
      <c r="H2" s="91"/>
      <c r="I2" s="91"/>
      <c r="J2" s="91"/>
      <c r="K2" s="91"/>
      <c r="L2" s="91"/>
      <c r="AA2" s="955"/>
      <c r="AB2" s="956"/>
      <c r="AD2" s="651"/>
      <c r="AE2" s="651"/>
      <c r="AF2" s="651"/>
      <c r="AG2" s="651"/>
      <c r="AH2" s="651"/>
    </row>
    <row r="3" spans="1:34" s="92" customFormat="1" ht="24.95" customHeight="1" x14ac:dyDescent="0.2">
      <c r="A3" s="458"/>
      <c r="B3" s="461"/>
      <c r="C3" s="461"/>
      <c r="D3" s="461"/>
      <c r="E3" s="461"/>
      <c r="F3" s="95"/>
      <c r="G3" s="95"/>
      <c r="H3" s="94"/>
      <c r="I3" s="94"/>
      <c r="J3" s="94"/>
      <c r="K3" s="94"/>
      <c r="L3" s="94"/>
      <c r="M3" s="94"/>
      <c r="N3" s="94"/>
      <c r="O3" s="94"/>
      <c r="P3" s="94"/>
      <c r="Q3" s="94"/>
      <c r="R3" s="94"/>
      <c r="S3" s="94"/>
      <c r="T3" s="94"/>
      <c r="U3" s="94"/>
      <c r="V3" s="94"/>
      <c r="W3" s="94"/>
      <c r="X3" s="94"/>
      <c r="Y3" s="94"/>
      <c r="Z3" s="94"/>
      <c r="AA3" s="94"/>
      <c r="AB3" s="94"/>
      <c r="AC3" s="94"/>
      <c r="AD3" s="651"/>
      <c r="AE3" s="651"/>
      <c r="AF3" s="651"/>
      <c r="AG3" s="651"/>
      <c r="AH3" s="651"/>
    </row>
    <row r="4" spans="1:34" s="94" customFormat="1" ht="24.95" customHeight="1" x14ac:dyDescent="0.2">
      <c r="A4" s="459"/>
      <c r="B4" s="954" t="s">
        <v>206</v>
      </c>
      <c r="C4" s="954"/>
      <c r="D4" s="954"/>
      <c r="E4" s="954"/>
      <c r="F4" s="954"/>
      <c r="G4" s="954"/>
      <c r="H4" s="954"/>
      <c r="I4" s="954"/>
      <c r="J4" s="954"/>
      <c r="K4" s="954"/>
      <c r="L4" s="954"/>
      <c r="M4" s="954"/>
      <c r="N4" s="954"/>
      <c r="O4" s="954"/>
      <c r="P4" s="954"/>
      <c r="Q4" s="954"/>
      <c r="R4" s="954"/>
      <c r="S4" s="954"/>
      <c r="T4" s="954"/>
      <c r="U4" s="954"/>
      <c r="V4" s="954"/>
      <c r="W4" s="954"/>
      <c r="X4" s="954"/>
      <c r="Y4" s="954"/>
      <c r="Z4" s="954"/>
      <c r="AA4" s="954"/>
      <c r="AB4" s="954"/>
      <c r="AC4" s="954"/>
      <c r="AD4" s="652"/>
      <c r="AE4" s="652"/>
      <c r="AF4" s="652"/>
      <c r="AG4" s="676"/>
      <c r="AH4" s="652"/>
    </row>
    <row r="5" spans="1:34" s="92" customFormat="1" ht="25.15" customHeight="1" x14ac:dyDescent="0.2">
      <c r="A5" s="458"/>
      <c r="B5" s="498" t="s">
        <v>91</v>
      </c>
      <c r="C5" s="499" t="s">
        <v>92</v>
      </c>
      <c r="D5" s="500" t="s">
        <v>176</v>
      </c>
      <c r="E5" s="501" t="s">
        <v>93</v>
      </c>
      <c r="F5" s="500" t="s">
        <v>207</v>
      </c>
      <c r="G5" s="500" t="s">
        <v>116</v>
      </c>
      <c r="H5" s="500" t="s">
        <v>97</v>
      </c>
      <c r="I5" s="500" t="s">
        <v>212</v>
      </c>
      <c r="J5" s="502" t="s">
        <v>104</v>
      </c>
      <c r="K5" s="502" t="s">
        <v>182</v>
      </c>
      <c r="L5" s="570"/>
      <c r="M5" s="500" t="s">
        <v>98</v>
      </c>
      <c r="N5" s="571" t="s">
        <v>102</v>
      </c>
      <c r="O5" s="571" t="s">
        <v>107</v>
      </c>
      <c r="P5" s="571" t="s">
        <v>185</v>
      </c>
      <c r="Q5" s="571" t="s">
        <v>199</v>
      </c>
      <c r="R5" s="571" t="s">
        <v>205</v>
      </c>
      <c r="S5" s="571" t="s">
        <v>183</v>
      </c>
      <c r="T5" s="571" t="s">
        <v>184</v>
      </c>
      <c r="U5" s="571" t="s">
        <v>197</v>
      </c>
      <c r="V5" s="571" t="s">
        <v>198</v>
      </c>
      <c r="W5" s="571" t="s">
        <v>435</v>
      </c>
      <c r="X5" s="571" t="s">
        <v>439</v>
      </c>
      <c r="Y5" s="571" t="s">
        <v>440</v>
      </c>
      <c r="Z5" s="571" t="s">
        <v>106</v>
      </c>
      <c r="AA5" s="502" t="s">
        <v>94</v>
      </c>
      <c r="AB5" s="502" t="s">
        <v>95</v>
      </c>
      <c r="AC5" s="502" t="s">
        <v>96</v>
      </c>
      <c r="AD5" s="651"/>
      <c r="AE5" s="651"/>
      <c r="AF5" s="651"/>
      <c r="AG5" s="677"/>
      <c r="AH5" s="651"/>
    </row>
    <row r="6" spans="1:34" s="92" customFormat="1" ht="24.95" customHeight="1" x14ac:dyDescent="0.2">
      <c r="A6" s="460" t="str">
        <f>IF(ProposedLoans!$M6&gt;0,DATE((H6+1),1,1),"")</f>
        <v/>
      </c>
      <c r="B6" s="462"/>
      <c r="C6" s="462"/>
      <c r="D6" s="462"/>
      <c r="E6" s="678"/>
      <c r="F6" s="463"/>
      <c r="G6" s="463"/>
      <c r="H6" s="464"/>
      <c r="I6" s="464"/>
      <c r="J6" s="464"/>
      <c r="K6" s="464"/>
      <c r="L6" s="465" t="str">
        <f>IF($H6&gt;0,DATE(H6,INDEX(Inputs!$C$4:$D$15,MATCH(K6,Months,0),2),1),"")</f>
        <v/>
      </c>
      <c r="M6" s="464"/>
      <c r="N6" s="585" t="str">
        <f>IF(ProposedLoans!$M6&gt;0,ProposedLoans!$J6*ProposedLoans!$O6,"")</f>
        <v/>
      </c>
      <c r="O6" s="585" t="str">
        <f>IF(M6&gt;0,IF(M6="Monthly",12,IF(M6="Quarterly",4,IF(M6="Semi-Annual",2,1))),"")</f>
        <v/>
      </c>
      <c r="P6" s="586" t="str">
        <f>IF(I6="no",0,IF(M6&gt;0,IF(M6="Annual",1,(YEARFRAC(L6,A6,))*12),""))</f>
        <v/>
      </c>
      <c r="Q6" s="586">
        <f>IF(I6="no",0,ROUNDUP(IF(M6="Monthly",12*(P6/O6),IF(M6="Quarterly",((P6/12)*O6),IF(M6="Semi-Annual",IF(((P6/12)*O6)&gt;1,2,1),1))),0))</f>
        <v>1</v>
      </c>
      <c r="R6" s="585" t="str">
        <f>IF(M6&gt;0,Q6/O6,"")</f>
        <v/>
      </c>
      <c r="S6" s="587" t="str">
        <f>IF(I6="No",0,IF(ProposedLoans!$M6&gt;0,IF(R6=1,U6/Q6,(U6/Q6)),""))</f>
        <v/>
      </c>
      <c r="T6" s="587" t="str">
        <f>IF(I6="no",0,IF(ProposedLoans!$M6&gt;0,IF(R6=1,V6/Q6,R6*(V6/Q6)),""))</f>
        <v/>
      </c>
      <c r="U6" s="587" t="str">
        <f>IF(I6="No",0,IF(E6&gt;0,IF(ProposedLoans!$M6&lt;&gt;0,CUMPRINC(((365/360)*E6)/O6,N6,F6,1,Q6,0)*-1,),ProposedLoans!$AA6))</f>
        <v/>
      </c>
      <c r="V6" s="587">
        <f>IF(I6="no",0,IF(E6&gt;0,IF(ProposedLoans!$M6&lt;&gt;0,IF(OR(D6="Operating-Ag",D6="operating-Direct Mkt")=TRUE,(1-X6)*CUMIPMT(((365/360)*E6)/O6,N6,F6,1,Q6,0)*-1,CUMIPMT(((365/360)*E6)/O6,N6,F6,1,Q6,0)*-1),0),0))</f>
        <v>0</v>
      </c>
      <c r="W6" s="587">
        <f>IF(I6="no",0,IF(OR(D6="Operating-Ag",D6="Operating-DM")=TRUE,0,IF(E6&gt;0,IF(ProposedLoans!$M6&lt;&gt;0,CUMIPMT(((365/360)*E6)/O6,N6+Q6,F6,Q6+1,Q6+Q6,0)*-1,),0))*X6)</f>
        <v>0</v>
      </c>
      <c r="X6" s="661">
        <f>IF(M6&gt;0,INDEX(Inputs!$J$26:$K$37,MATCH(Y6,Inputs!$J$26:$J$37,0),2)/12,0)</f>
        <v>0</v>
      </c>
      <c r="Y6" s="587" t="str">
        <f>IF(M6&gt;0,RIGHT(Z6,3),"")</f>
        <v/>
      </c>
      <c r="Z6" s="587">
        <f>IF(M6&lt;&gt;0,IF(M6="annual",INDEX(Inputs!$C$4:$E$15,MATCH(ProposedLoans!K6,Months,0),3),IF(M6="semi-annual",IF(Q6=2,CONCATENATE(INDEX(Inputs!$C$4:$E$15,MATCH(ProposedLoans!K6,Months,0),3),",",INDEX(Inputs!$C$4:$E$15,MATCH(MONTH(L6+190),Inputs!$D$4:$D$15,0),3)),INDEX(Inputs!$C$4:$E$15,MATCH(ProposedLoans!K6,Months,0),3)),IF(M6="Quarterly",IF(Q6=4,CONCATENATE(INDEX(Inputs!$C$4:$E$15,MATCH(ProposedLoans!K6,Months,0),3),",",INDEX(Inputs!$C$4:$E$15,MATCH(MONTH(L6+95),Inputs!$D$4:$D$15,0),3),",",INDEX(Inputs!$C$4:$E$15,MATCH(MONTH(L6+190),Inputs!$D$4:$D$15,0),3),",",INDEX(Inputs!$C$4:$E$15,MATCH(MONTH(L6+275),Inputs!$D$4:$D$15,0),3)),IF(Q6=3,CONCATENATE(INDEX(Inputs!$C$4:$E$15,MATCH(ProposedLoans!K6,Months,0),3),",",INDEX(Inputs!$C$4:$E$15,MATCH(MONTH(L6+95),Inputs!$D$4:$D$15,0),3),",",INDEX(Inputs!$C$4:$E$15,MATCH(MONTH(L6+190),Inputs!$D$4:$D$15,0),3)),IF(Q6=2,CONCATENATE(INDEX(Inputs!$C$4:$E$15,MATCH(ProposedLoans!K6,Months,0),3),",",INDEX(Inputs!$C$4:$E$15,MATCH(MONTH(L6+95),Inputs!$D$4:$D$15,0),3)),INDEX(Inputs!$C$4:$E$15,MATCH(ProposedLoans!K6,Months,0),3)))),INDEX(Inputs!$C$4:$F$15,MATCH(ProposedLoans!K6,Months,0),4)))),0)</f>
        <v>0</v>
      </c>
      <c r="AA6" s="466" t="str">
        <f>IF(ProposedLoans!$M6&gt;0,PMT(((365/360)*ProposedLoans!$E6)/ProposedLoans!$O6,ProposedLoans!$N6,ProposedLoans!$F6*-1)*ProposedLoans!$O6,"")</f>
        <v/>
      </c>
      <c r="AB6" s="467">
        <f>IF(I6="no",IF(ProposedLoans!$M6&gt;0,PPMT(((365/360)*ProposedLoans!$E6)/ProposedLoans!$O6,1,ProposedLoans!$N6,ProposedLoans!$F6*-1)*ProposedLoans!$O6,),IF(F6&gt;0,IF(ProposedLoans!$M6&lt;&gt;0,IF(R6=1,U6,IF(E6=0,R6*U6,U6)),ProposedLoans!$AA6),))</f>
        <v>0</v>
      </c>
      <c r="AC6" s="466" t="str">
        <f>IF(ProposedLoans!$M6&gt;0,ProposedLoans!$F6-ProposedLoans!$AB6,"")</f>
        <v/>
      </c>
      <c r="AD6" s="680" t="str">
        <f>IF(E6&gt;0,IF(AC6&lt;AB6,AC6,IF(ProposedLoans!$M6&lt;&gt;0,CUMPRINC(((365/360)*E6)/O6,N6,F6,1+Q6,Q6+Q6,0)*-1,)),ProposedLoans!$AA6)</f>
        <v/>
      </c>
      <c r="AE6" s="680">
        <f>IF(M6&gt;0,IF(I6="Yes",AC6-AD6,AC6),0)</f>
        <v>0</v>
      </c>
      <c r="AF6" s="651" t="str">
        <f t="shared" ref="AF6:AF13" si="0">IF(D6&gt;0,D6,"")</f>
        <v/>
      </c>
      <c r="AG6" s="665" t="str">
        <f>IF(OR(D6="Operating-Ag",D6="Operating-Direct Mkt")=TRUE,AB6,AD6)</f>
        <v/>
      </c>
      <c r="AH6" s="665">
        <f>IF(OR(E6="Operating-Ag",D6="Operating-Direct Mkt")=TRUE,AC6,AE6)</f>
        <v>0</v>
      </c>
    </row>
    <row r="7" spans="1:34" s="92" customFormat="1" ht="24.95" customHeight="1" x14ac:dyDescent="0.2">
      <c r="A7" s="460" t="str">
        <f>IF(ProposedLoans!$M7&gt;0,DATE((H7+1),1,1),"")</f>
        <v/>
      </c>
      <c r="B7" s="462"/>
      <c r="C7" s="462"/>
      <c r="D7" s="462"/>
      <c r="E7" s="678"/>
      <c r="F7" s="463"/>
      <c r="G7" s="463"/>
      <c r="H7" s="464"/>
      <c r="I7" s="464"/>
      <c r="J7" s="464"/>
      <c r="K7" s="464"/>
      <c r="L7" s="465" t="str">
        <f>IF($H7&gt;0,DATE(H7,INDEX(Inputs!$C$4:$D$15,MATCH(K7,Months,0),2),1),"")</f>
        <v/>
      </c>
      <c r="M7" s="464"/>
      <c r="N7" s="585" t="str">
        <f>IF(ProposedLoans!$M7&gt;0,ProposedLoans!$J7*ProposedLoans!$O7,"")</f>
        <v/>
      </c>
      <c r="O7" s="585" t="str">
        <f t="shared" ref="O7:O21" si="1">IF(M7&gt;0,IF(M7="Monthly",12,IF(M7="Quarterly",4,IF(M7="Semi-Annual",2,1))),"")</f>
        <v/>
      </c>
      <c r="P7" s="586" t="str">
        <f t="shared" ref="P7:P19" si="2">IF(I7="no",0,IF(M7&gt;0,IF(M7="Annual",1,(YEARFRAC(L7,A7,))*12),""))</f>
        <v/>
      </c>
      <c r="Q7" s="586">
        <f t="shared" ref="Q7:Q21" si="3">IF(I7="no",0,ROUNDUP(IF(M7="Monthly",12*(P7/O7),IF(M7="Quarterly",((P7/12)*O7),IF(M7="Semi-Annual",IF(((P7/12)*O7)&gt;1,2,1),1))),0))</f>
        <v>1</v>
      </c>
      <c r="R7" s="585" t="str">
        <f t="shared" ref="R7:R21" si="4">IF(M7&gt;0,Q7/O7,"")</f>
        <v/>
      </c>
      <c r="S7" s="587" t="str">
        <f>IF(I7="No",0,IF(ProposedLoans!$M7&gt;0,IF(R7=1,U7/Q7,(U7/Q7)),""))</f>
        <v/>
      </c>
      <c r="T7" s="587" t="str">
        <f>IF(I7="no",0,IF(ProposedLoans!$M7&gt;0,IF(R7=1,V7/Q7,R7*(V7/Q7)),""))</f>
        <v/>
      </c>
      <c r="U7" s="587" t="str">
        <f>IF(I7="No",0,IF(E7&gt;0,IF(ProposedLoans!$M7&lt;&gt;0,CUMPRINC(((365/360)*E7)/O7,N7,F7,1,Q7,0)*-1,),ProposedLoans!$AA7))</f>
        <v/>
      </c>
      <c r="V7" s="587">
        <f>IF(I7="no",0,IF(E7&gt;0,IF(ProposedLoans!$M7&lt;&gt;0,IF(OR(D7="Operating-Ag",D7="operating-Direct Mkt")=TRUE,(1-X7)*CUMIPMT(((365/360)*E7)/O7,N7,F7,1,Q7,0)*-1,CUMIPMT(((365/360)*E7)/O7,N7,F7,1,Q7,0)*-1),0),0))</f>
        <v>0</v>
      </c>
      <c r="W7" s="587">
        <f>IF(I7="no",0,IF(OR(D7="Operating-Ag",D7="Operating-DM")=TRUE,0,IF(E7&gt;0,IF(ProposedLoans!$M7&lt;&gt;0,CUMIPMT(((365/360)*E7)/O7,N7+Q7,F7,Q7+1,Q7+Q7,0)*-1,),0))*X7)</f>
        <v>0</v>
      </c>
      <c r="X7" s="661">
        <f>IF(M7&gt;0,INDEX(Inputs!$J$26:$K$37,MATCH(Y7,Inputs!$J$26:$J$37,0),2)/12,0)</f>
        <v>0</v>
      </c>
      <c r="Y7" s="587" t="str">
        <f t="shared" ref="Y7:Y21" si="5">IF(M7&gt;0,RIGHT(Z7,3),"")</f>
        <v/>
      </c>
      <c r="Z7" s="587">
        <f>IF(M7&lt;&gt;0,IF(M7="annual",INDEX(Inputs!$C$4:$E$15,MATCH(ProposedLoans!K7,Months,0),3),IF(M7="semi-annual",IF(Q7=2,CONCATENATE(INDEX(Inputs!$C$4:$E$15,MATCH(ProposedLoans!K7,Months,0),3),",",INDEX(Inputs!$C$4:$E$15,MATCH(MONTH(L7+190),Inputs!$D$4:$D$15,0),3)),INDEX(Inputs!$C$4:$E$15,MATCH(ProposedLoans!K7,Months,0),3)),IF(M7="Quarterly",IF(Q7=4,CONCATENATE(INDEX(Inputs!$C$4:$E$15,MATCH(ProposedLoans!K7,Months,0),3),",",INDEX(Inputs!$C$4:$E$15,MATCH(MONTH(L7+95),Inputs!$D$4:$D$15,0),3),",",INDEX(Inputs!$C$4:$E$15,MATCH(MONTH(L7+190),Inputs!$D$4:$D$15,0),3),",",INDEX(Inputs!$C$4:$E$15,MATCH(MONTH(L7+275),Inputs!$D$4:$D$15,0),3)),IF(Q7=3,CONCATENATE(INDEX(Inputs!$C$4:$E$15,MATCH(ProposedLoans!K7,Months,0),3),",",INDEX(Inputs!$C$4:$E$15,MATCH(MONTH(L7+95),Inputs!$D$4:$D$15,0),3),",",INDEX(Inputs!$C$4:$E$15,MATCH(MONTH(L7+190),Inputs!$D$4:$D$15,0),3)),IF(Q7=2,CONCATENATE(INDEX(Inputs!$C$4:$E$15,MATCH(ProposedLoans!K7,Months,0),3),",",INDEX(Inputs!$C$4:$E$15,MATCH(MONTH(L7+95),Inputs!$D$4:$D$15,0),3)),INDEX(Inputs!$C$4:$E$15,MATCH(ProposedLoans!K7,Months,0),3)))),INDEX(Inputs!$C$4:$F$15,MATCH(ProposedLoans!K7,Months,0),4)))),0)</f>
        <v>0</v>
      </c>
      <c r="AA7" s="466" t="str">
        <f>IF(ProposedLoans!$M7&gt;0,PMT(((365/360)*ProposedLoans!$E7)/ProposedLoans!$O7,ProposedLoans!$N7,ProposedLoans!$F7*-1)*ProposedLoans!$O7,"")</f>
        <v/>
      </c>
      <c r="AB7" s="467">
        <f>IF(I7="no",IF(ProposedLoans!$M7&gt;0,PPMT(((365/360)*ProposedLoans!$E7)/ProposedLoans!$O7,1,ProposedLoans!$N7,ProposedLoans!$F7*-1)*ProposedLoans!$O7,),IF(F7&gt;0,IF(ProposedLoans!$M7&lt;&gt;0,IF(R7=1,U7,IF(E7=0,R7*U7,U7)),ProposedLoans!$AA7),))</f>
        <v>0</v>
      </c>
      <c r="AC7" s="466" t="str">
        <f>IF(ProposedLoans!$M7&gt;0,ProposedLoans!$F7-ProposedLoans!$AB7,"")</f>
        <v/>
      </c>
      <c r="AD7" s="680" t="str">
        <f>IF(E7&gt;0,IF(AC7&lt;AB7,AC7,IF(ProposedLoans!$M7&lt;&gt;0,CUMPRINC(((365/360)*E7)/O7,N7,F7,1+Q7,Q7+Q7,0)*-1,)),ProposedLoans!$AA7)</f>
        <v/>
      </c>
      <c r="AE7" s="680">
        <f t="shared" ref="AE7:AE13" si="6">IF(M7&gt;0,IF(I7="Yes",AC7-AD7,AC7),0)</f>
        <v>0</v>
      </c>
      <c r="AF7" s="651" t="str">
        <f t="shared" si="0"/>
        <v/>
      </c>
      <c r="AG7" s="665" t="str">
        <f t="shared" ref="AG7:AG13" si="7">IF(OR(D7="Operating-Ag",D7="Operating-Direct Mkt")=TRUE,AB7,AD7)</f>
        <v/>
      </c>
      <c r="AH7" s="665">
        <f t="shared" ref="AH7:AH13" si="8">IF(OR(E7="Operating-Ag",D7="Operating-Direct Mkt")=TRUE,AC7,AE7)</f>
        <v>0</v>
      </c>
    </row>
    <row r="8" spans="1:34" s="92" customFormat="1" ht="24.95" customHeight="1" x14ac:dyDescent="0.2">
      <c r="A8" s="460" t="str">
        <f>IF(ProposedLoans!$M8&gt;0,DATE((H8+1),1,1),"")</f>
        <v/>
      </c>
      <c r="B8" s="462"/>
      <c r="C8" s="462"/>
      <c r="D8" s="462"/>
      <c r="E8" s="678"/>
      <c r="F8" s="463"/>
      <c r="G8" s="463"/>
      <c r="H8" s="464"/>
      <c r="I8" s="464"/>
      <c r="J8" s="464"/>
      <c r="K8" s="464"/>
      <c r="L8" s="465" t="str">
        <f>IF($H8&gt;0,DATE(H8,INDEX(Inputs!$C$4:$D$15,MATCH(K8,Months,0),2),1),"")</f>
        <v/>
      </c>
      <c r="M8" s="464"/>
      <c r="N8" s="585" t="str">
        <f>IF(ProposedLoans!$M8&gt;0,ProposedLoans!$J8*ProposedLoans!$O8,"")</f>
        <v/>
      </c>
      <c r="O8" s="585" t="str">
        <f>IF(M8&gt;0,IF(M8="Monthly",12,IF(M8="Quarterly",4,IF(M8="Semi-Annual",2,1))),"")</f>
        <v/>
      </c>
      <c r="P8" s="586" t="str">
        <f t="shared" si="2"/>
        <v/>
      </c>
      <c r="Q8" s="586">
        <f t="shared" si="3"/>
        <v>1</v>
      </c>
      <c r="R8" s="585" t="str">
        <f>IF(M8&gt;0,Q8/O8,"")</f>
        <v/>
      </c>
      <c r="S8" s="587" t="str">
        <f>IF(I8="No",0,IF(ProposedLoans!$M8&gt;0,IF(R8=1,U8/Q8,(U8/Q8)),""))</f>
        <v/>
      </c>
      <c r="T8" s="587" t="str">
        <f>IF(I8="no",0,IF(ProposedLoans!$M8&gt;0,IF(R8=1,V8/Q8,R8*(V8/Q8)),""))</f>
        <v/>
      </c>
      <c r="U8" s="587" t="str">
        <f>IF(I8="No",0,IF(E8&gt;0,IF(ProposedLoans!$M8&lt;&gt;0,CUMPRINC(((365/360)*E8)/O8,N8,F8,1,Q8,0)*-1,),ProposedLoans!$AA8))</f>
        <v/>
      </c>
      <c r="V8" s="587">
        <f>IF(I8="no",0,IF(E8&gt;0,IF(ProposedLoans!$M8&lt;&gt;0,IF(OR(D8="Operating-Ag",D8="operating-Direct Mkt")=TRUE,(1-X8)*CUMIPMT(((365/360)*E8)/O8,N8,F8,1,Q8,0)*-1,CUMIPMT(((365/360)*E8)/O8,N8,F8,1,Q8,0)*-1),0),0))</f>
        <v>0</v>
      </c>
      <c r="W8" s="587">
        <f>IF(I8="no",0,IF(OR(D8="Operating-Ag",D8="Operating-DM")=TRUE,0,IF(E8&gt;0,IF(ProposedLoans!$M8&lt;&gt;0,CUMIPMT(((365/360)*E8)/O8,N8+Q8,F8,Q8+1,Q8+Q8,0)*-1,),0))*X8)</f>
        <v>0</v>
      </c>
      <c r="X8" s="661">
        <f>IF(M8&gt;0,INDEX(Inputs!$J$26:$K$37,MATCH(Y8,Inputs!$J$26:$J$37,0),2)/12,0)</f>
        <v>0</v>
      </c>
      <c r="Y8" s="587" t="str">
        <f t="shared" si="5"/>
        <v/>
      </c>
      <c r="Z8" s="587">
        <f>IF(M8&lt;&gt;0,IF(M8="annual",INDEX(Inputs!$C$4:$E$15,MATCH(ProposedLoans!K8,Months,0),3),IF(M8="semi-annual",IF(Q8=2,CONCATENATE(INDEX(Inputs!$C$4:$E$15,MATCH(ProposedLoans!K8,Months,0),3),",",INDEX(Inputs!$C$4:$E$15,MATCH(MONTH(L8+190),Inputs!$D$4:$D$15,0),3)),INDEX(Inputs!$C$4:$E$15,MATCH(ProposedLoans!K8,Months,0),3)),IF(M8="Quarterly",IF(Q8=4,CONCATENATE(INDEX(Inputs!$C$4:$E$15,MATCH(ProposedLoans!K8,Months,0),3),",",INDEX(Inputs!$C$4:$E$15,MATCH(MONTH(L8+95),Inputs!$D$4:$D$15,0),3),",",INDEX(Inputs!$C$4:$E$15,MATCH(MONTH(L8+190),Inputs!$D$4:$D$15,0),3),",",INDEX(Inputs!$C$4:$E$15,MATCH(MONTH(L8+275),Inputs!$D$4:$D$15,0),3)),IF(Q8=3,CONCATENATE(INDEX(Inputs!$C$4:$E$15,MATCH(ProposedLoans!K8,Months,0),3),",",INDEX(Inputs!$C$4:$E$15,MATCH(MONTH(L8+95),Inputs!$D$4:$D$15,0),3),",",INDEX(Inputs!$C$4:$E$15,MATCH(MONTH(L8+190),Inputs!$D$4:$D$15,0),3)),IF(Q8=2,CONCATENATE(INDEX(Inputs!$C$4:$E$15,MATCH(ProposedLoans!K8,Months,0),3),",",INDEX(Inputs!$C$4:$E$15,MATCH(MONTH(L8+95),Inputs!$D$4:$D$15,0),3)),INDEX(Inputs!$C$4:$E$15,MATCH(ProposedLoans!K8,Months,0),3)))),INDEX(Inputs!$C$4:$F$15,MATCH(ProposedLoans!K8,Months,0),4)))),0)</f>
        <v>0</v>
      </c>
      <c r="AA8" s="466" t="str">
        <f>IF(ProposedLoans!$M8&gt;0,PMT(((365/360)*ProposedLoans!$E8)/ProposedLoans!$O8,ProposedLoans!$N8,ProposedLoans!$F8*-1)*ProposedLoans!$O8,"")</f>
        <v/>
      </c>
      <c r="AB8" s="467">
        <f>IF(I8="no",IF(ProposedLoans!$M8&gt;0,PPMT(((365/360)*ProposedLoans!$E8)/ProposedLoans!$O8,1,ProposedLoans!$N8,ProposedLoans!$F8*-1)*ProposedLoans!$O8,),IF(F8&gt;0,IF(ProposedLoans!$M8&lt;&gt;0,IF(R8=1,U8,IF(E8=0,R8*U8,U8)),ProposedLoans!$AA8),))</f>
        <v>0</v>
      </c>
      <c r="AC8" s="466" t="str">
        <f>IF(ProposedLoans!$M8&gt;0,ProposedLoans!$F8-ProposedLoans!$AB8,"")</f>
        <v/>
      </c>
      <c r="AD8" s="680" t="str">
        <f>IF(E8&gt;0,IF(AC8&lt;AB8,AC8,IF(ProposedLoans!$M8&lt;&gt;0,CUMPRINC(((365/360)*E8)/O8,N8,F8,1+Q8,Q8+Q8,0)*-1,)),ProposedLoans!$AA8)</f>
        <v/>
      </c>
      <c r="AE8" s="680">
        <f t="shared" si="6"/>
        <v>0</v>
      </c>
      <c r="AF8" s="651" t="str">
        <f t="shared" si="0"/>
        <v/>
      </c>
      <c r="AG8" s="665" t="str">
        <f t="shared" si="7"/>
        <v/>
      </c>
      <c r="AH8" s="665">
        <f t="shared" si="8"/>
        <v>0</v>
      </c>
    </row>
    <row r="9" spans="1:34" s="92" customFormat="1" ht="24.95" customHeight="1" x14ac:dyDescent="0.2">
      <c r="A9" s="460" t="str">
        <f>IF(ProposedLoans!$M9&gt;0,DATE((H9+1),1,1),"")</f>
        <v/>
      </c>
      <c r="B9" s="462"/>
      <c r="C9" s="462"/>
      <c r="D9" s="462"/>
      <c r="E9" s="678"/>
      <c r="F9" s="463"/>
      <c r="G9" s="463"/>
      <c r="H9" s="464"/>
      <c r="I9" s="464"/>
      <c r="J9" s="464"/>
      <c r="K9" s="464"/>
      <c r="L9" s="465" t="str">
        <f>IF($H9&gt;0,DATE(H9,INDEX(Inputs!$C$4:$D$15,MATCH(K9,Months,0),2),1),"")</f>
        <v/>
      </c>
      <c r="M9" s="464"/>
      <c r="N9" s="585" t="str">
        <f>IF(ProposedLoans!$M9&gt;0,ProposedLoans!$J9*ProposedLoans!$O9,"")</f>
        <v/>
      </c>
      <c r="O9" s="585" t="str">
        <f>IF(M9&gt;0,IF(M9="Monthly",12,IF(M9="Quarterly",4,IF(M9="Semi-Annual",2,1))),"")</f>
        <v/>
      </c>
      <c r="P9" s="586" t="str">
        <f t="shared" si="2"/>
        <v/>
      </c>
      <c r="Q9" s="586">
        <f t="shared" si="3"/>
        <v>1</v>
      </c>
      <c r="R9" s="585" t="str">
        <f>IF(M9&gt;0,Q9/O9,"")</f>
        <v/>
      </c>
      <c r="S9" s="587" t="str">
        <f>IF(I9="No",0,IF(ProposedLoans!$M9&gt;0,IF(R9=1,U9/Q9,(U9/Q9)),""))</f>
        <v/>
      </c>
      <c r="T9" s="587" t="str">
        <f>IF(I9="no",0,IF(ProposedLoans!$M9&gt;0,IF(R9=1,V9/Q9,R9*(V9/Q9)),""))</f>
        <v/>
      </c>
      <c r="U9" s="587" t="str">
        <f>IF(I9="No",0,IF(E9&gt;0,IF(ProposedLoans!$M9&lt;&gt;0,CUMPRINC(((365/360)*E9)/O9,N9,F9,1,Q9,0)*-1,),ProposedLoans!$AA9))</f>
        <v/>
      </c>
      <c r="V9" s="587">
        <f>IF(I9="no",0,IF(E9&gt;0,IF(ProposedLoans!$M9&lt;&gt;0,IF(OR(D9="Operating-Ag",D9="operating-Direct Mkt")=TRUE,(1-X9)*CUMIPMT(((365/360)*E9)/O9,N9,F9,1,Q9,0)*-1,CUMIPMT(((365/360)*E9)/O9,N9,F9,1,Q9,0)*-1),0),0))</f>
        <v>0</v>
      </c>
      <c r="W9" s="587">
        <f>IF(I9="no",0,IF(OR(D9="Operating-Ag",D9="Operating-DM")=TRUE,0,IF(E9&gt;0,IF(ProposedLoans!$M9&lt;&gt;0,CUMIPMT(((365/360)*E9)/O9,N9+Q9,F9,Q9+1,Q9+Q9,0)*-1,),0))*X9)</f>
        <v>0</v>
      </c>
      <c r="X9" s="661">
        <f>IF(M9&gt;0,INDEX(Inputs!$J$26:$K$37,MATCH(Y9,Inputs!$J$26:$J$37,0),2)/12,0)</f>
        <v>0</v>
      </c>
      <c r="Y9" s="587" t="str">
        <f t="shared" si="5"/>
        <v/>
      </c>
      <c r="Z9" s="587">
        <f>IF(M9&lt;&gt;0,IF(M9="annual",INDEX(Inputs!$C$4:$E$15,MATCH(ProposedLoans!K9,Months,0),3),IF(M9="semi-annual",IF(Q9=2,CONCATENATE(INDEX(Inputs!$C$4:$E$15,MATCH(ProposedLoans!K9,Months,0),3),",",INDEX(Inputs!$C$4:$E$15,MATCH(MONTH(L9+190),Inputs!$D$4:$D$15,0),3)),INDEX(Inputs!$C$4:$E$15,MATCH(ProposedLoans!K9,Months,0),3)),IF(M9="Quarterly",IF(Q9=4,CONCATENATE(INDEX(Inputs!$C$4:$E$15,MATCH(ProposedLoans!K9,Months,0),3),",",INDEX(Inputs!$C$4:$E$15,MATCH(MONTH(L9+95),Inputs!$D$4:$D$15,0),3),",",INDEX(Inputs!$C$4:$E$15,MATCH(MONTH(L9+190),Inputs!$D$4:$D$15,0),3),",",INDEX(Inputs!$C$4:$E$15,MATCH(MONTH(L9+275),Inputs!$D$4:$D$15,0),3)),IF(Q9=3,CONCATENATE(INDEX(Inputs!$C$4:$E$15,MATCH(ProposedLoans!K9,Months,0),3),",",INDEX(Inputs!$C$4:$E$15,MATCH(MONTH(L9+95),Inputs!$D$4:$D$15,0),3),",",INDEX(Inputs!$C$4:$E$15,MATCH(MONTH(L9+190),Inputs!$D$4:$D$15,0),3)),IF(Q9=2,CONCATENATE(INDEX(Inputs!$C$4:$E$15,MATCH(ProposedLoans!K9,Months,0),3),",",INDEX(Inputs!$C$4:$E$15,MATCH(MONTH(L9+95),Inputs!$D$4:$D$15,0),3)),INDEX(Inputs!$C$4:$E$15,MATCH(ProposedLoans!K9,Months,0),3)))),INDEX(Inputs!$C$4:$F$15,MATCH(ProposedLoans!K9,Months,0),4)))),0)</f>
        <v>0</v>
      </c>
      <c r="AA9" s="466" t="str">
        <f>IF(ProposedLoans!$M9&gt;0,PMT(((365/360)*ProposedLoans!$E9)/ProposedLoans!$O9,ProposedLoans!$N9,ProposedLoans!$F9*-1)*ProposedLoans!$O9,"")</f>
        <v/>
      </c>
      <c r="AB9" s="467">
        <f>IF(I9="no",IF(ProposedLoans!$M9&gt;0,PPMT(((365/360)*ProposedLoans!$E9)/ProposedLoans!$O9,1,ProposedLoans!$N9,ProposedLoans!$F9*-1)*ProposedLoans!$O9,),IF(F9&gt;0,IF(ProposedLoans!$M9&lt;&gt;0,IF(R9=1,U9,IF(E9=0,R9*U9,U9)),ProposedLoans!$AA9),))</f>
        <v>0</v>
      </c>
      <c r="AC9" s="466" t="str">
        <f>IF(ProposedLoans!$M9&gt;0,ProposedLoans!$F9-ProposedLoans!$AB9,"")</f>
        <v/>
      </c>
      <c r="AD9" s="680" t="str">
        <f>IF(E9&gt;0,IF(AC9&lt;AB9,AC9,IF(ProposedLoans!$M9&lt;&gt;0,CUMPRINC(((365/360)*E9)/O9,N9,F9,1+Q9,Q9+Q9,0)*-1,)),ProposedLoans!$AA9)</f>
        <v/>
      </c>
      <c r="AE9" s="680">
        <f t="shared" si="6"/>
        <v>0</v>
      </c>
      <c r="AF9" s="651" t="str">
        <f t="shared" si="0"/>
        <v/>
      </c>
      <c r="AG9" s="665" t="str">
        <f t="shared" si="7"/>
        <v/>
      </c>
      <c r="AH9" s="665">
        <f t="shared" si="8"/>
        <v>0</v>
      </c>
    </row>
    <row r="10" spans="1:34" s="92" customFormat="1" ht="24.95" customHeight="1" x14ac:dyDescent="0.2">
      <c r="A10" s="460" t="str">
        <f>IF(ProposedLoans!$M10&gt;0,DATE((H10+1),1,1),"")</f>
        <v/>
      </c>
      <c r="B10" s="462"/>
      <c r="C10" s="462"/>
      <c r="D10" s="462"/>
      <c r="E10" s="678"/>
      <c r="F10" s="463"/>
      <c r="G10" s="463"/>
      <c r="H10" s="464"/>
      <c r="I10" s="464"/>
      <c r="J10" s="464"/>
      <c r="K10" s="464"/>
      <c r="L10" s="465" t="str">
        <f>IF($H10&gt;0,DATE(H10,INDEX(Inputs!$C$4:$D$15,MATCH(K10,Months,0),2),1),"")</f>
        <v/>
      </c>
      <c r="M10" s="464"/>
      <c r="N10" s="585" t="str">
        <f>IF(ProposedLoans!$M10&gt;0,ProposedLoans!$J10*ProposedLoans!$O10,"")</f>
        <v/>
      </c>
      <c r="O10" s="585" t="str">
        <f>IF(M10&gt;0,IF(M10="Monthly",12,IF(M10="Quarterly",4,IF(M10="Semi-Annual",2,1))),"")</f>
        <v/>
      </c>
      <c r="P10" s="586" t="str">
        <f t="shared" si="2"/>
        <v/>
      </c>
      <c r="Q10" s="586">
        <f t="shared" si="3"/>
        <v>1</v>
      </c>
      <c r="R10" s="585" t="str">
        <f>IF(M10&gt;0,Q10/O10,"")</f>
        <v/>
      </c>
      <c r="S10" s="587" t="str">
        <f>IF(I10="No",0,IF(ProposedLoans!$M10&gt;0,IF(R10=1,U10/Q10,(U10/Q10)),""))</f>
        <v/>
      </c>
      <c r="T10" s="587" t="str">
        <f>IF(I10="no",0,IF(ProposedLoans!$M10&gt;0,IF(R10=1,V10/Q10,R10*(V10/Q10)),""))</f>
        <v/>
      </c>
      <c r="U10" s="587" t="str">
        <f>IF(I10="No",0,IF(E10&gt;0,IF(ProposedLoans!$M10&lt;&gt;0,CUMPRINC(((365/360)*E10)/O10,N10,F10,1,Q10,0)*-1,),ProposedLoans!$AA10))</f>
        <v/>
      </c>
      <c r="V10" s="587">
        <f>IF(I10="no",0,IF(E10&gt;0,IF(ProposedLoans!$M10&lt;&gt;0,IF(OR(D10="Operating-Ag",D10="operating-Direct Mkt")=TRUE,(1-X10)*CUMIPMT(((365/360)*E10)/O10,N10,F10,1,Q10,0)*-1,CUMIPMT(((365/360)*E10)/O10,N10,F10,1,Q10,0)*-1),0),0))</f>
        <v>0</v>
      </c>
      <c r="W10" s="587">
        <f>IF(I10="no",0,IF(OR(D10="Operating-Ag",D10="Operating-DM")=TRUE,0,IF(E10&gt;0,IF(ProposedLoans!$M10&lt;&gt;0,CUMIPMT(((365/360)*E10)/O10,N10+Q10,F10,Q10+1,Q10+Q10,0)*-1,),0))*X10)</f>
        <v>0</v>
      </c>
      <c r="X10" s="661">
        <f>IF(M10&gt;0,INDEX(Inputs!$J$26:$K$37,MATCH(Y10,Inputs!$J$26:$J$37,0),2)/12,0)</f>
        <v>0</v>
      </c>
      <c r="Y10" s="587" t="str">
        <f t="shared" si="5"/>
        <v/>
      </c>
      <c r="Z10" s="587">
        <f>IF(M10&lt;&gt;0,IF(M10="annual",INDEX(Inputs!$C$4:$E$15,MATCH(ProposedLoans!K10,Months,0),3),IF(M10="semi-annual",IF(Q10=2,CONCATENATE(INDEX(Inputs!$C$4:$E$15,MATCH(ProposedLoans!K10,Months,0),3),",",INDEX(Inputs!$C$4:$E$15,MATCH(MONTH(L10+190),Inputs!$D$4:$D$15,0),3)),INDEX(Inputs!$C$4:$E$15,MATCH(ProposedLoans!K10,Months,0),3)),IF(M10="Quarterly",IF(Q10=4,CONCATENATE(INDEX(Inputs!$C$4:$E$15,MATCH(ProposedLoans!K10,Months,0),3),",",INDEX(Inputs!$C$4:$E$15,MATCH(MONTH(L10+95),Inputs!$D$4:$D$15,0),3),",",INDEX(Inputs!$C$4:$E$15,MATCH(MONTH(L10+190),Inputs!$D$4:$D$15,0),3),",",INDEX(Inputs!$C$4:$E$15,MATCH(MONTH(L10+275),Inputs!$D$4:$D$15,0),3)),IF(Q10=3,CONCATENATE(INDEX(Inputs!$C$4:$E$15,MATCH(ProposedLoans!K10,Months,0),3),",",INDEX(Inputs!$C$4:$E$15,MATCH(MONTH(L10+95),Inputs!$D$4:$D$15,0),3),",",INDEX(Inputs!$C$4:$E$15,MATCH(MONTH(L10+190),Inputs!$D$4:$D$15,0),3)),IF(Q10=2,CONCATENATE(INDEX(Inputs!$C$4:$E$15,MATCH(ProposedLoans!K10,Months,0),3),",",INDEX(Inputs!$C$4:$E$15,MATCH(MONTH(L10+95),Inputs!$D$4:$D$15,0),3)),INDEX(Inputs!$C$4:$E$15,MATCH(ProposedLoans!K10,Months,0),3)))),INDEX(Inputs!$C$4:$F$15,MATCH(ProposedLoans!K10,Months,0),4)))),0)</f>
        <v>0</v>
      </c>
      <c r="AA10" s="466" t="str">
        <f>IF(ProposedLoans!$M10&gt;0,PMT(((365/360)*ProposedLoans!$E10)/ProposedLoans!$O10,ProposedLoans!$N10,ProposedLoans!$F10*-1)*ProposedLoans!$O10,"")</f>
        <v/>
      </c>
      <c r="AB10" s="467">
        <f>IF(I10="no",IF(ProposedLoans!$M10&gt;0,PPMT(((365/360)*ProposedLoans!$E10)/ProposedLoans!$O10,1,ProposedLoans!$N10,ProposedLoans!$F10*-1)*ProposedLoans!$O10,),IF(F10&gt;0,IF(ProposedLoans!$M10&lt;&gt;0,IF(R10=1,U10,IF(E10=0,R10*U10,U10)),ProposedLoans!$AA10),))</f>
        <v>0</v>
      </c>
      <c r="AC10" s="466" t="str">
        <f>IF(ProposedLoans!$M10&gt;0,ProposedLoans!$F10-ProposedLoans!$AB10,"")</f>
        <v/>
      </c>
      <c r="AD10" s="680" t="str">
        <f>IF(E10&gt;0,IF(AC10&lt;AB10,AC10,IF(ProposedLoans!$M10&lt;&gt;0,CUMPRINC(((365/360)*E10)/O10,N10,F10,1+Q10,Q10+Q10,0)*-1,)),ProposedLoans!$AA10)</f>
        <v/>
      </c>
      <c r="AE10" s="680">
        <f t="shared" si="6"/>
        <v>0</v>
      </c>
      <c r="AF10" s="651" t="str">
        <f t="shared" si="0"/>
        <v/>
      </c>
      <c r="AG10" s="665" t="str">
        <f t="shared" si="7"/>
        <v/>
      </c>
      <c r="AH10" s="665">
        <f t="shared" si="8"/>
        <v>0</v>
      </c>
    </row>
    <row r="11" spans="1:34" s="92" customFormat="1" ht="24.95" customHeight="1" x14ac:dyDescent="0.2">
      <c r="A11" s="460" t="str">
        <f>IF(ProposedLoans!$M11&gt;0,DATE((H11+1),1,1),"")</f>
        <v/>
      </c>
      <c r="B11" s="462"/>
      <c r="C11" s="462"/>
      <c r="D11" s="462"/>
      <c r="E11" s="678"/>
      <c r="F11" s="463"/>
      <c r="G11" s="463"/>
      <c r="H11" s="464"/>
      <c r="I11" s="464"/>
      <c r="J11" s="464"/>
      <c r="K11" s="464"/>
      <c r="L11" s="465" t="str">
        <f>IF($H11&gt;0,DATE(H11,INDEX(Inputs!$C$4:$D$15,MATCH(K11,Months,0),2),1),"")</f>
        <v/>
      </c>
      <c r="M11" s="464"/>
      <c r="N11" s="585" t="str">
        <f>IF(ProposedLoans!$M11&gt;0,ProposedLoans!$J11*ProposedLoans!$O11,"")</f>
        <v/>
      </c>
      <c r="O11" s="585" t="str">
        <f t="shared" si="1"/>
        <v/>
      </c>
      <c r="P11" s="586" t="str">
        <f t="shared" si="2"/>
        <v/>
      </c>
      <c r="Q11" s="586">
        <f t="shared" si="3"/>
        <v>1</v>
      </c>
      <c r="R11" s="585" t="str">
        <f t="shared" si="4"/>
        <v/>
      </c>
      <c r="S11" s="587" t="str">
        <f>IF(I11="No",0,IF(ProposedLoans!$M11&gt;0,IF(R11=1,U11/Q11,(U11/Q11)),""))</f>
        <v/>
      </c>
      <c r="T11" s="587" t="str">
        <f>IF(I11="no",0,IF(ProposedLoans!$M11&gt;0,IF(R11=1,V11/Q11,R11*(V11/Q11)),""))</f>
        <v/>
      </c>
      <c r="U11" s="587" t="str">
        <f>IF(I11="No",0,IF(E11&gt;0,IF(ProposedLoans!$M11&lt;&gt;0,CUMPRINC(((365/360)*E11)/O11,N11,F11,1,Q11,0)*-1,),ProposedLoans!$AA11))</f>
        <v/>
      </c>
      <c r="V11" s="587">
        <f>IF(I11="no",0,IF(E11&gt;0,IF(ProposedLoans!$M11&lt;&gt;0,IF(OR(D11="Operating-Ag",D11="operating-Direct Mkt")=TRUE,(1-X11)*CUMIPMT(((365/360)*E11)/O11,N11,F11,1,Q11,0)*-1,CUMIPMT(((365/360)*E11)/O11,N11,F11,1,Q11,0)*-1),0),0))</f>
        <v>0</v>
      </c>
      <c r="W11" s="587">
        <f>IF(I11="no",0,IF(OR(D11="Operating-Ag",D11="Operating-DM")=TRUE,0,IF(E11&gt;0,IF(ProposedLoans!$M11&lt;&gt;0,CUMIPMT(((365/360)*E11)/O11,N11+Q11,F11,Q11+1,Q11+Q11,0)*-1,),0))*X11)</f>
        <v>0</v>
      </c>
      <c r="X11" s="661">
        <f>IF(M11&gt;0,INDEX(Inputs!$J$26:$K$37,MATCH(Y11,Inputs!$J$26:$J$37,0),2)/12,0)</f>
        <v>0</v>
      </c>
      <c r="Y11" s="587" t="str">
        <f t="shared" si="5"/>
        <v/>
      </c>
      <c r="Z11" s="587">
        <f>IF(M11&lt;&gt;0,IF(M11="annual",INDEX(Inputs!$C$4:$E$15,MATCH(ProposedLoans!K11,Months,0),3),IF(M11="semi-annual",IF(Q11=2,CONCATENATE(INDEX(Inputs!$C$4:$E$15,MATCH(ProposedLoans!K11,Months,0),3),",",INDEX(Inputs!$C$4:$E$15,MATCH(MONTH(L11+190),Inputs!$D$4:$D$15,0),3)),INDEX(Inputs!$C$4:$E$15,MATCH(ProposedLoans!K11,Months,0),3)),IF(M11="Quarterly",IF(Q11=4,CONCATENATE(INDEX(Inputs!$C$4:$E$15,MATCH(ProposedLoans!K11,Months,0),3),",",INDEX(Inputs!$C$4:$E$15,MATCH(MONTH(L11+95),Inputs!$D$4:$D$15,0),3),",",INDEX(Inputs!$C$4:$E$15,MATCH(MONTH(L11+190),Inputs!$D$4:$D$15,0),3),",",INDEX(Inputs!$C$4:$E$15,MATCH(MONTH(L11+275),Inputs!$D$4:$D$15,0),3)),IF(Q11=3,CONCATENATE(INDEX(Inputs!$C$4:$E$15,MATCH(ProposedLoans!K11,Months,0),3),",",INDEX(Inputs!$C$4:$E$15,MATCH(MONTH(L11+95),Inputs!$D$4:$D$15,0),3),",",INDEX(Inputs!$C$4:$E$15,MATCH(MONTH(L11+190),Inputs!$D$4:$D$15,0),3)),IF(Q11=2,CONCATENATE(INDEX(Inputs!$C$4:$E$15,MATCH(ProposedLoans!K11,Months,0),3),",",INDEX(Inputs!$C$4:$E$15,MATCH(MONTH(L11+95),Inputs!$D$4:$D$15,0),3)),INDEX(Inputs!$C$4:$E$15,MATCH(ProposedLoans!K11,Months,0),3)))),INDEX(Inputs!$C$4:$F$15,MATCH(ProposedLoans!K11,Months,0),4)))),0)</f>
        <v>0</v>
      </c>
      <c r="AA11" s="466" t="str">
        <f>IF(ProposedLoans!$M11&gt;0,PMT(((365/360)*ProposedLoans!$E11)/ProposedLoans!$O11,ProposedLoans!$N11,ProposedLoans!$F11*-1)*ProposedLoans!$O11,"")</f>
        <v/>
      </c>
      <c r="AB11" s="467">
        <f>IF(I11="no",IF(ProposedLoans!$M11&gt;0,PPMT(((365/360)*ProposedLoans!$E11)/ProposedLoans!$O11,1,ProposedLoans!$N11,ProposedLoans!$F11*-1)*ProposedLoans!$O11,),IF(F11&gt;0,IF(ProposedLoans!$M11&lt;&gt;0,IF(R11=1,U11,IF(E11=0,R11*U11,U11)),ProposedLoans!$AA11),))</f>
        <v>0</v>
      </c>
      <c r="AC11" s="466" t="str">
        <f>IF(ProposedLoans!$M11&gt;0,ProposedLoans!$F11-ProposedLoans!$AB11,"")</f>
        <v/>
      </c>
      <c r="AD11" s="680" t="str">
        <f>IF(E11&gt;0,IF(AC11&lt;AB11,AC11,IF(ProposedLoans!$M11&lt;&gt;0,CUMPRINC(((365/360)*E11)/O11,N11,F11,1+Q11,Q11+Q11,0)*-1,)),ProposedLoans!$AA11)</f>
        <v/>
      </c>
      <c r="AE11" s="680">
        <f t="shared" si="6"/>
        <v>0</v>
      </c>
      <c r="AF11" s="651" t="str">
        <f t="shared" si="0"/>
        <v/>
      </c>
      <c r="AG11" s="665" t="str">
        <f t="shared" si="7"/>
        <v/>
      </c>
      <c r="AH11" s="665">
        <f t="shared" si="8"/>
        <v>0</v>
      </c>
    </row>
    <row r="12" spans="1:34" s="92" customFormat="1" ht="24.95" customHeight="1" x14ac:dyDescent="0.2">
      <c r="A12" s="460" t="str">
        <f>IF(ProposedLoans!$M12&gt;0,DATE((H12+1),1,1),"")</f>
        <v/>
      </c>
      <c r="B12" s="462"/>
      <c r="C12" s="462"/>
      <c r="D12" s="462"/>
      <c r="E12" s="678"/>
      <c r="F12" s="463"/>
      <c r="G12" s="463"/>
      <c r="H12" s="464"/>
      <c r="I12" s="464"/>
      <c r="J12" s="464"/>
      <c r="K12" s="464"/>
      <c r="L12" s="465" t="str">
        <f>IF($H12&gt;0,DATE(H12,INDEX(Inputs!$C$4:$D$15,MATCH(K12,Months,0),2),1),"")</f>
        <v/>
      </c>
      <c r="M12" s="464"/>
      <c r="N12" s="585" t="str">
        <f>IF(ProposedLoans!$M12&gt;0,ProposedLoans!$J12*ProposedLoans!$O12,"")</f>
        <v/>
      </c>
      <c r="O12" s="585" t="str">
        <f t="shared" si="1"/>
        <v/>
      </c>
      <c r="P12" s="586" t="str">
        <f t="shared" si="2"/>
        <v/>
      </c>
      <c r="Q12" s="586">
        <f t="shared" si="3"/>
        <v>1</v>
      </c>
      <c r="R12" s="585" t="str">
        <f t="shared" si="4"/>
        <v/>
      </c>
      <c r="S12" s="587" t="str">
        <f>IF(I12="No",0,IF(ProposedLoans!$M12&gt;0,IF(R12=1,U12/Q12,(U12/Q12)),""))</f>
        <v/>
      </c>
      <c r="T12" s="587" t="str">
        <f>IF(I12="no",0,IF(ProposedLoans!$M12&gt;0,IF(R12=1,V12/Q12,R12*(V12/Q12)),""))</f>
        <v/>
      </c>
      <c r="U12" s="587" t="str">
        <f>IF(I12="No",0,IF(E12&gt;0,IF(ProposedLoans!$M12&lt;&gt;0,CUMPRINC(((365/360)*E12)/O12,N12,F12,1,Q12,0)*-1,),ProposedLoans!$AA12))</f>
        <v/>
      </c>
      <c r="V12" s="587">
        <f>IF(I12="no",0,IF(E12&gt;0,IF(ProposedLoans!$M12&lt;&gt;0,IF(OR(D12="Operating-Ag",D12="operating-Direct Mkt")=TRUE,(1-X12)*CUMIPMT(((365/360)*E12)/O12,N12,F12,1,Q12,0)*-1,CUMIPMT(((365/360)*E12)/O12,N12,F12,1,Q12,0)*-1),0),0))</f>
        <v>0</v>
      </c>
      <c r="W12" s="587">
        <f>IF(I12="no",0,IF(OR(D12="Operating-Ag",D12="Operating-DM")=TRUE,0,IF(E12&gt;0,IF(ProposedLoans!$M12&lt;&gt;0,CUMIPMT(((365/360)*E12)/O12,N12+Q12,F12,Q12+1,Q12+Q12,0)*-1,),0))*X12)</f>
        <v>0</v>
      </c>
      <c r="X12" s="661">
        <f>IF(M12&gt;0,INDEX(Inputs!$J$26:$K$37,MATCH(Y12,Inputs!$J$26:$J$37,0),2)/12,0)</f>
        <v>0</v>
      </c>
      <c r="Y12" s="587" t="str">
        <f t="shared" si="5"/>
        <v/>
      </c>
      <c r="Z12" s="587">
        <f>IF(M12&lt;&gt;0,IF(M12="annual",INDEX(Inputs!$C$4:$E$15,MATCH(ProposedLoans!K12,Months,0),3),IF(M12="semi-annual",IF(Q12=2,CONCATENATE(INDEX(Inputs!$C$4:$E$15,MATCH(ProposedLoans!K12,Months,0),3),",",INDEX(Inputs!$C$4:$E$15,MATCH(MONTH(L12+190),Inputs!$D$4:$D$15,0),3)),INDEX(Inputs!$C$4:$E$15,MATCH(ProposedLoans!K12,Months,0),3)),IF(M12="Quarterly",IF(Q12=4,CONCATENATE(INDEX(Inputs!$C$4:$E$15,MATCH(ProposedLoans!K12,Months,0),3),",",INDEX(Inputs!$C$4:$E$15,MATCH(MONTH(L12+95),Inputs!$D$4:$D$15,0),3),",",INDEX(Inputs!$C$4:$E$15,MATCH(MONTH(L12+190),Inputs!$D$4:$D$15,0),3),",",INDEX(Inputs!$C$4:$E$15,MATCH(MONTH(L12+275),Inputs!$D$4:$D$15,0),3)),IF(Q12=3,CONCATENATE(INDEX(Inputs!$C$4:$E$15,MATCH(ProposedLoans!K12,Months,0),3),",",INDEX(Inputs!$C$4:$E$15,MATCH(MONTH(L12+95),Inputs!$D$4:$D$15,0),3),",",INDEX(Inputs!$C$4:$E$15,MATCH(MONTH(L12+190),Inputs!$D$4:$D$15,0),3)),IF(Q12=2,CONCATENATE(INDEX(Inputs!$C$4:$E$15,MATCH(ProposedLoans!K12,Months,0),3),",",INDEX(Inputs!$C$4:$E$15,MATCH(MONTH(L12+95),Inputs!$D$4:$D$15,0),3)),INDEX(Inputs!$C$4:$E$15,MATCH(ProposedLoans!K12,Months,0),3)))),INDEX(Inputs!$C$4:$F$15,MATCH(ProposedLoans!K12,Months,0),4)))),0)</f>
        <v>0</v>
      </c>
      <c r="AA12" s="466" t="str">
        <f>IF(ProposedLoans!$M12&gt;0,PMT(((365/360)*ProposedLoans!$E12)/ProposedLoans!$O12,ProposedLoans!$N12,ProposedLoans!$F12*-1)*ProposedLoans!$O12,"")</f>
        <v/>
      </c>
      <c r="AB12" s="467">
        <f>IF(I12="no",IF(ProposedLoans!$M12&gt;0,PPMT(((365/360)*ProposedLoans!$E12)/ProposedLoans!$O12,1,ProposedLoans!$N12,ProposedLoans!$F12*-1)*ProposedLoans!$O12,),IF(F12&gt;0,IF(ProposedLoans!$M12&lt;&gt;0,IF(R12=1,U12,IF(E12=0,R12*U12,U12)),ProposedLoans!$AA12),))</f>
        <v>0</v>
      </c>
      <c r="AC12" s="466" t="str">
        <f>IF(ProposedLoans!$M12&gt;0,ProposedLoans!$F12-ProposedLoans!$AB12,"")</f>
        <v/>
      </c>
      <c r="AD12" s="680" t="str">
        <f>IF(E12&gt;0,IF(AC12&lt;AB12,AC12,IF(ProposedLoans!$M12&lt;&gt;0,CUMPRINC(((365/360)*E12)/O12,N12,F12,1+Q12,Q12+Q12,0)*-1,)),ProposedLoans!$AA12)</f>
        <v/>
      </c>
      <c r="AE12" s="680">
        <f t="shared" si="6"/>
        <v>0</v>
      </c>
      <c r="AF12" s="651" t="str">
        <f t="shared" si="0"/>
        <v/>
      </c>
      <c r="AG12" s="665" t="str">
        <f t="shared" si="7"/>
        <v/>
      </c>
      <c r="AH12" s="665">
        <f t="shared" si="8"/>
        <v>0</v>
      </c>
    </row>
    <row r="13" spans="1:34" s="92" customFormat="1" ht="24.95" customHeight="1" x14ac:dyDescent="0.2">
      <c r="A13" s="460" t="str">
        <f>IF(ProposedLoans!$M13&gt;0,DATE((H13+1),1,1),"")</f>
        <v/>
      </c>
      <c r="B13" s="468"/>
      <c r="C13" s="468"/>
      <c r="D13" s="468"/>
      <c r="E13" s="679"/>
      <c r="F13" s="469"/>
      <c r="G13" s="469"/>
      <c r="H13" s="470"/>
      <c r="I13" s="470"/>
      <c r="J13" s="470"/>
      <c r="K13" s="470"/>
      <c r="L13" s="465" t="str">
        <f>IF($H13&gt;0,DATE(H13,INDEX(Inputs!$C$4:$D$15,MATCH(K13,Months,0),2),1),"")</f>
        <v/>
      </c>
      <c r="M13" s="470"/>
      <c r="N13" s="585" t="str">
        <f>IF(ProposedLoans!$M13&gt;0,ProposedLoans!$J13*ProposedLoans!$O13,"")</f>
        <v/>
      </c>
      <c r="O13" s="585" t="str">
        <f t="shared" si="1"/>
        <v/>
      </c>
      <c r="P13" s="586" t="str">
        <f t="shared" si="2"/>
        <v/>
      </c>
      <c r="Q13" s="586">
        <f t="shared" si="3"/>
        <v>1</v>
      </c>
      <c r="R13" s="585" t="str">
        <f t="shared" si="4"/>
        <v/>
      </c>
      <c r="S13" s="587" t="str">
        <f>IF(I13="No",0,IF(ProposedLoans!$M13&gt;0,IF(R13=1,U13/Q13,(U13/Q13)),""))</f>
        <v/>
      </c>
      <c r="T13" s="587" t="str">
        <f>IF(I13="no",0,IF(ProposedLoans!$M13&gt;0,IF(R13=1,V13/Q13,R13*(V13/Q13)),""))</f>
        <v/>
      </c>
      <c r="U13" s="587" t="str">
        <f>IF(I13="No",0,IF(E13&gt;0,IF(ProposedLoans!$M13&lt;&gt;0,CUMPRINC(((365/360)*E13)/O13,N13,F13,1,Q13,0)*-1,),ProposedLoans!$AA13))</f>
        <v/>
      </c>
      <c r="V13" s="587">
        <f>IF(I13="no",0,IF(E13&gt;0,IF(ProposedLoans!$M13&lt;&gt;0,IF(OR(D13="Operating-Ag",D13="operating-Direct Mkt")=TRUE,(1-X13)*CUMIPMT(((365/360)*E13)/O13,N13,F13,1,Q13,0)*-1,CUMIPMT(((365/360)*E13)/O13,N13,F13,1,Q13,0)*-1),0),0))</f>
        <v>0</v>
      </c>
      <c r="W13" s="587">
        <f>IF(I13="no",0,IF(OR(D13="Operating-Ag",D13="Operating-DM")=TRUE,0,IF(E13&gt;0,IF(ProposedLoans!$M13&lt;&gt;0,CUMIPMT(((365/360)*E13)/O13,N13+Q13,F13,Q13+1,Q13+Q13,0)*-1,),0))*X13)</f>
        <v>0</v>
      </c>
      <c r="X13" s="661">
        <f>IF(M13&gt;0,INDEX(Inputs!$J$26:$K$37,MATCH(Y13,Inputs!$J$26:$J$37,0),2)/12,0)</f>
        <v>0</v>
      </c>
      <c r="Y13" s="587" t="str">
        <f t="shared" si="5"/>
        <v/>
      </c>
      <c r="Z13" s="587">
        <f>IF(M13&lt;&gt;0,IF(M13="annual",INDEX(Inputs!$C$4:$E$15,MATCH(ProposedLoans!K13,Months,0),3),IF(M13="semi-annual",IF(Q13=2,CONCATENATE(INDEX(Inputs!$C$4:$E$15,MATCH(ProposedLoans!K13,Months,0),3),",",INDEX(Inputs!$C$4:$E$15,MATCH(MONTH(L13+190),Inputs!$D$4:$D$15,0),3)),INDEX(Inputs!$C$4:$E$15,MATCH(ProposedLoans!K13,Months,0),3)),IF(M13="Quarterly",IF(Q13=4,CONCATENATE(INDEX(Inputs!$C$4:$E$15,MATCH(ProposedLoans!K13,Months,0),3),",",INDEX(Inputs!$C$4:$E$15,MATCH(MONTH(L13+95),Inputs!$D$4:$D$15,0),3),",",INDEX(Inputs!$C$4:$E$15,MATCH(MONTH(L13+190),Inputs!$D$4:$D$15,0),3),",",INDEX(Inputs!$C$4:$E$15,MATCH(MONTH(L13+275),Inputs!$D$4:$D$15,0),3)),IF(Q13=3,CONCATENATE(INDEX(Inputs!$C$4:$E$15,MATCH(ProposedLoans!K13,Months,0),3),",",INDEX(Inputs!$C$4:$E$15,MATCH(MONTH(L13+95),Inputs!$D$4:$D$15,0),3),",",INDEX(Inputs!$C$4:$E$15,MATCH(MONTH(L13+190),Inputs!$D$4:$D$15,0),3)),IF(Q13=2,CONCATENATE(INDEX(Inputs!$C$4:$E$15,MATCH(ProposedLoans!K13,Months,0),3),",",INDEX(Inputs!$C$4:$E$15,MATCH(MONTH(L13+95),Inputs!$D$4:$D$15,0),3)),INDEX(Inputs!$C$4:$E$15,MATCH(ProposedLoans!K13,Months,0),3)))),INDEX(Inputs!$C$4:$F$15,MATCH(ProposedLoans!K13,Months,0),4)))),0)</f>
        <v>0</v>
      </c>
      <c r="AA13" s="466" t="str">
        <f>IF(ProposedLoans!$M13&gt;0,PMT(((365/360)*ProposedLoans!$E13)/ProposedLoans!$O13,ProposedLoans!$N13,ProposedLoans!$F13*-1)*ProposedLoans!$O13,"")</f>
        <v/>
      </c>
      <c r="AB13" s="467">
        <f>IF(I13="no",IF(ProposedLoans!$M13&gt;0,PPMT(((365/360)*ProposedLoans!$E13)/ProposedLoans!$O13,1,ProposedLoans!$N13,ProposedLoans!$F13*-1)*ProposedLoans!$O13,),IF(F13&gt;0,IF(ProposedLoans!$M13&lt;&gt;0,IF(R13=1,U13,IF(E13=0,R13*U13,U13)),ProposedLoans!$AA13),))</f>
        <v>0</v>
      </c>
      <c r="AC13" s="466" t="str">
        <f>IF(ProposedLoans!$M13&gt;0,ProposedLoans!$F13-ProposedLoans!$AB13,"")</f>
        <v/>
      </c>
      <c r="AD13" s="680" t="str">
        <f>IF(E13&gt;0,IF(AC13&lt;AB13,AC13,IF(ProposedLoans!$M13&lt;&gt;0,CUMPRINC(((365/360)*E13)/O13,N13,F13,1+Q13,Q13+Q13,0)*-1,)),ProposedLoans!$AA13)</f>
        <v/>
      </c>
      <c r="AE13" s="680">
        <f t="shared" si="6"/>
        <v>0</v>
      </c>
      <c r="AF13" s="651" t="str">
        <f t="shared" si="0"/>
        <v/>
      </c>
      <c r="AG13" s="665" t="str">
        <f t="shared" si="7"/>
        <v/>
      </c>
      <c r="AH13" s="665">
        <f t="shared" si="8"/>
        <v>0</v>
      </c>
    </row>
    <row r="14" spans="1:34" s="92" customFormat="1" ht="24.95" customHeight="1" x14ac:dyDescent="0.2">
      <c r="A14" s="460" t="str">
        <f>IF(ProposedLoans!$M20&gt;0,DATE((H20+1),1,1),"")</f>
        <v/>
      </c>
      <c r="B14" s="468"/>
      <c r="C14" s="468"/>
      <c r="D14" s="468"/>
      <c r="E14" s="679"/>
      <c r="F14" s="469"/>
      <c r="G14" s="469"/>
      <c r="H14" s="470"/>
      <c r="I14" s="470"/>
      <c r="J14" s="470"/>
      <c r="K14" s="470"/>
      <c r="L14" s="465" t="str">
        <f>IF($H14&gt;0,DATE(H14,INDEX(Inputs!$C$4:$D$15,MATCH(K14,Months,0),2),1),"")</f>
        <v/>
      </c>
      <c r="M14" s="470"/>
      <c r="N14" s="585" t="str">
        <f>IF(ProposedLoans!$M14&gt;0,ProposedLoans!$J14*ProposedLoans!$O14,"")</f>
        <v/>
      </c>
      <c r="O14" s="585" t="str">
        <f t="shared" si="1"/>
        <v/>
      </c>
      <c r="P14" s="586" t="str">
        <f t="shared" si="2"/>
        <v/>
      </c>
      <c r="Q14" s="586">
        <f t="shared" si="3"/>
        <v>1</v>
      </c>
      <c r="R14" s="585" t="str">
        <f t="shared" si="4"/>
        <v/>
      </c>
      <c r="S14" s="587" t="str">
        <f>IF(I14="No",0,IF(ProposedLoans!$M14&gt;0,IF(R14=1,U14/Q14,(U14/Q14)),""))</f>
        <v/>
      </c>
      <c r="T14" s="587" t="str">
        <f>IF(I14="no",0,IF(ProposedLoans!$M14&gt;0,IF(R14=1,V14/Q14,R14*(V14/Q14)),""))</f>
        <v/>
      </c>
      <c r="U14" s="587" t="str">
        <f>IF(I14="No",0,IF(E14&gt;0,IF(ProposedLoans!$M14&lt;&gt;0,CUMPRINC(((365/360)*E14)/O14,N14,F14,1,Q14,0)*-1,),ProposedLoans!$AA14))</f>
        <v/>
      </c>
      <c r="V14" s="587">
        <f>IF(I14="no",0,IF(E14&gt;0,IF(ProposedLoans!$M14&lt;&gt;0,IF(OR(D14="Operating-Ag",D14="operating-Direct Mkt")=TRUE,(1-X14)*CUMIPMT(((365/360)*E14)/O14,N14,F14,1,Q14,0)*-1,CUMIPMT(((365/360)*E14)/O14,N14,F14,1,Q14,0)*-1),0),0))</f>
        <v>0</v>
      </c>
      <c r="W14" s="587">
        <f>IF(I14="no",0,IF(OR(D14="Operating-Ag",D14="Operating-DM")=TRUE,0,IF(E14&gt;0,IF(ProposedLoans!$M14&lt;&gt;0,CUMIPMT(((365/360)*E14)/O14,N14+Q14,F14,Q14+1,Q14+Q14,0)*-1,),0))*X14)</f>
        <v>0</v>
      </c>
      <c r="X14" s="661">
        <f>IF(M14&gt;0,INDEX(Inputs!$J$26:$K$37,MATCH(Y14,Inputs!$J$26:$J$37,0),2)/12,0)</f>
        <v>0</v>
      </c>
      <c r="Y14" s="587" t="str">
        <f t="shared" si="5"/>
        <v/>
      </c>
      <c r="Z14" s="587">
        <f>IF(M14&lt;&gt;0,IF(M14="annual",INDEX(Inputs!$C$4:$E$15,MATCH(ProposedLoans!K14,Months,0),3),IF(M14="semi-annual",IF(Q14=2,CONCATENATE(INDEX(Inputs!$C$4:$E$15,MATCH(ProposedLoans!K14,Months,0),3),",",INDEX(Inputs!$C$4:$E$15,MATCH(MONTH(L14+190),Inputs!$D$4:$D$15,0),3)),INDEX(Inputs!$C$4:$E$15,MATCH(ProposedLoans!K14,Months,0),3)),IF(M14="Quarterly",IF(Q14=4,CONCATENATE(INDEX(Inputs!$C$4:$E$15,MATCH(ProposedLoans!K14,Months,0),3),",",INDEX(Inputs!$C$4:$E$15,MATCH(MONTH(L14+95),Inputs!$D$4:$D$15,0),3),",",INDEX(Inputs!$C$4:$E$15,MATCH(MONTH(L14+190),Inputs!$D$4:$D$15,0),3),",",INDEX(Inputs!$C$4:$E$15,MATCH(MONTH(L14+275),Inputs!$D$4:$D$15,0),3)),IF(Q14=3,CONCATENATE(INDEX(Inputs!$C$4:$E$15,MATCH(ProposedLoans!K14,Months,0),3),",",INDEX(Inputs!$C$4:$E$15,MATCH(MONTH(L14+95),Inputs!$D$4:$D$15,0),3),",",INDEX(Inputs!$C$4:$E$15,MATCH(MONTH(L14+190),Inputs!$D$4:$D$15,0),3)),IF(Q14=2,CONCATENATE(INDEX(Inputs!$C$4:$E$15,MATCH(ProposedLoans!K14,Months,0),3),",",INDEX(Inputs!$C$4:$E$15,MATCH(MONTH(L14+95),Inputs!$D$4:$D$15,0),3)),INDEX(Inputs!$C$4:$E$15,MATCH(ProposedLoans!K14,Months,0),3)))),INDEX(Inputs!$C$4:$F$15,MATCH(ProposedLoans!K14,Months,0),4)))),0)</f>
        <v>0</v>
      </c>
      <c r="AA14" s="466" t="str">
        <f>IF(ProposedLoans!$M14&gt;0,PMT(((365/360)*ProposedLoans!$E14)/ProposedLoans!$O14,ProposedLoans!$N14,ProposedLoans!$F14*-1)*ProposedLoans!$O14,"")</f>
        <v/>
      </c>
      <c r="AB14" s="467">
        <f>IF(I14="no",IF(ProposedLoans!$M14&gt;0,PPMT(((365/360)*ProposedLoans!$E14)/ProposedLoans!$O14,1,ProposedLoans!$N14,ProposedLoans!$F14*-1)*ProposedLoans!$O14,),IF(F14&gt;0,IF(ProposedLoans!$M14&lt;&gt;0,IF(R14=1,U14,IF(E14=0,R14*U14,U14)),ProposedLoans!$AA14),))</f>
        <v>0</v>
      </c>
      <c r="AC14" s="466" t="str">
        <f>IF(ProposedLoans!$M14&gt;0,ProposedLoans!$F14-ProposedLoans!$AB14,"")</f>
        <v/>
      </c>
      <c r="AD14" s="680" t="str">
        <f>IF(E20&gt;0,IF(AC20&lt;AB20,AC20,IF(ProposedLoans!$M20&lt;&gt;0,CUMPRINC(((365/360)*E20)/O20,N20,F20,1+Q20,Q20+Q20,0)*-1,)),ProposedLoans!$AA20)</f>
        <v/>
      </c>
      <c r="AE14" s="680">
        <f>IF(M20&gt;0,IF(I20="Yes",AC20-AD14,AC20),0)</f>
        <v>0</v>
      </c>
      <c r="AF14" s="651" t="str">
        <f>IF(D20&gt;0,D20,"")</f>
        <v/>
      </c>
      <c r="AG14" s="665" t="str">
        <f>IF(OR(D20="Operating-Ag",D20="Operating-Direct Mkt")=TRUE,AB20,AD14)</f>
        <v/>
      </c>
      <c r="AH14" s="665">
        <f>IF(OR(E20="Operating-Ag",D20="Operating-Direct Mkt")=TRUE,AC20,AE14)</f>
        <v>0</v>
      </c>
    </row>
    <row r="15" spans="1:34" s="92" customFormat="1" ht="24.95" customHeight="1" x14ac:dyDescent="0.2">
      <c r="A15" s="460" t="str">
        <f>IF(ProposedLoans!$M21&gt;0,DATE((H21+1),1,1),"")</f>
        <v/>
      </c>
      <c r="B15" s="468"/>
      <c r="C15" s="468"/>
      <c r="D15" s="468"/>
      <c r="E15" s="679"/>
      <c r="F15" s="469"/>
      <c r="G15" s="469"/>
      <c r="H15" s="470"/>
      <c r="I15" s="470"/>
      <c r="J15" s="470"/>
      <c r="K15" s="470"/>
      <c r="L15" s="465" t="str">
        <f>IF($H15&gt;0,DATE(H15,INDEX(Inputs!$C$4:$D$15,MATCH(K15,Months,0),2),1),"")</f>
        <v/>
      </c>
      <c r="M15" s="470"/>
      <c r="N15" s="585" t="str">
        <f>IF(ProposedLoans!$M15&gt;0,ProposedLoans!$J15*ProposedLoans!$O15,"")</f>
        <v/>
      </c>
      <c r="O15" s="585" t="str">
        <f t="shared" si="1"/>
        <v/>
      </c>
      <c r="P15" s="586" t="str">
        <f t="shared" si="2"/>
        <v/>
      </c>
      <c r="Q15" s="586">
        <f t="shared" si="3"/>
        <v>1</v>
      </c>
      <c r="R15" s="585" t="str">
        <f t="shared" si="4"/>
        <v/>
      </c>
      <c r="S15" s="587" t="str">
        <f>IF(I15="No",0,IF(ProposedLoans!$M15&gt;0,IF(R15=1,U15/Q15,(U15/Q15)),""))</f>
        <v/>
      </c>
      <c r="T15" s="587" t="str">
        <f>IF(I15="no",0,IF(ProposedLoans!$M15&gt;0,IF(R15=1,V15/Q15,R15*(V15/Q15)),""))</f>
        <v/>
      </c>
      <c r="U15" s="587" t="str">
        <f>IF(I15="No",0,IF(E15&gt;0,IF(ProposedLoans!$M15&lt;&gt;0,CUMPRINC(((365/360)*E15)/O15,N15,F15,1,Q15,0)*-1,),ProposedLoans!$AA15))</f>
        <v/>
      </c>
      <c r="V15" s="587">
        <f>IF(I15="no",0,IF(E15&gt;0,IF(ProposedLoans!$M15&lt;&gt;0,IF(OR(D15="Operating-Ag",D15="operating-Direct Mkt")=TRUE,(1-X15)*CUMIPMT(((365/360)*E15)/O15,N15,F15,1,Q15,0)*-1,CUMIPMT(((365/360)*E15)/O15,N15,F15,1,Q15,0)*-1),0),0))</f>
        <v>0</v>
      </c>
      <c r="W15" s="587">
        <f>IF(I15="no",0,IF(OR(D15="Operating-Ag",D15="Operating-DM")=TRUE,0,IF(E15&gt;0,IF(ProposedLoans!$M15&lt;&gt;0,CUMIPMT(((365/360)*E15)/O15,N15+Q15,F15,Q15+1,Q15+Q15,0)*-1,),0))*X15)</f>
        <v>0</v>
      </c>
      <c r="X15" s="661">
        <f>IF(M15&gt;0,INDEX(Inputs!$J$26:$K$37,MATCH(Y15,Inputs!$J$26:$J$37,0),2)/12,0)</f>
        <v>0</v>
      </c>
      <c r="Y15" s="587" t="str">
        <f t="shared" si="5"/>
        <v/>
      </c>
      <c r="Z15" s="587">
        <f>IF(M15&lt;&gt;0,IF(M15="annual",INDEX(Inputs!$C$4:$E$15,MATCH(ProposedLoans!K15,Months,0),3),IF(M15="semi-annual",IF(Q15=2,CONCATENATE(INDEX(Inputs!$C$4:$E$15,MATCH(ProposedLoans!K15,Months,0),3),",",INDEX(Inputs!$C$4:$E$15,MATCH(MONTH(L15+190),Inputs!$D$4:$D$15,0),3)),INDEX(Inputs!$C$4:$E$15,MATCH(ProposedLoans!K15,Months,0),3)),IF(M15="Quarterly",IF(Q15=4,CONCATENATE(INDEX(Inputs!$C$4:$E$15,MATCH(ProposedLoans!K15,Months,0),3),",",INDEX(Inputs!$C$4:$E$15,MATCH(MONTH(L15+95),Inputs!$D$4:$D$15,0),3),",",INDEX(Inputs!$C$4:$E$15,MATCH(MONTH(L15+190),Inputs!$D$4:$D$15,0),3),",",INDEX(Inputs!$C$4:$E$15,MATCH(MONTH(L15+275),Inputs!$D$4:$D$15,0),3)),IF(Q15=3,CONCATENATE(INDEX(Inputs!$C$4:$E$15,MATCH(ProposedLoans!K15,Months,0),3),",",INDEX(Inputs!$C$4:$E$15,MATCH(MONTH(L15+95),Inputs!$D$4:$D$15,0),3),",",INDEX(Inputs!$C$4:$E$15,MATCH(MONTH(L15+190),Inputs!$D$4:$D$15,0),3)),IF(Q15=2,CONCATENATE(INDEX(Inputs!$C$4:$E$15,MATCH(ProposedLoans!K15,Months,0),3),",",INDEX(Inputs!$C$4:$E$15,MATCH(MONTH(L15+95),Inputs!$D$4:$D$15,0),3)),INDEX(Inputs!$C$4:$E$15,MATCH(ProposedLoans!K15,Months,0),3)))),INDEX(Inputs!$C$4:$F$15,MATCH(ProposedLoans!K15,Months,0),4)))),0)</f>
        <v>0</v>
      </c>
      <c r="AA15" s="466" t="str">
        <f>IF(ProposedLoans!$M15&gt;0,PMT(((365/360)*ProposedLoans!$E15)/ProposedLoans!$O15,ProposedLoans!$N15,ProposedLoans!$F15*-1)*ProposedLoans!$O15,"")</f>
        <v/>
      </c>
      <c r="AB15" s="467">
        <f>IF(I15="no",IF(ProposedLoans!$M15&gt;0,PPMT(((365/360)*ProposedLoans!$E15)/ProposedLoans!$O15,1,ProposedLoans!$N15,ProposedLoans!$F15*-1)*ProposedLoans!$O15,),IF(F15&gt;0,IF(ProposedLoans!$M15&lt;&gt;0,IF(R15=1,U15,IF(E15=0,R15*U15,U15)),ProposedLoans!$AA15),))</f>
        <v>0</v>
      </c>
      <c r="AC15" s="466" t="str">
        <f>IF(ProposedLoans!$M15&gt;0,ProposedLoans!$F15-ProposedLoans!$AB15,"")</f>
        <v/>
      </c>
      <c r="AD15" s="680" t="str">
        <f>IF(E21&gt;0,IF(AC21&lt;AB21,AC21,IF(ProposedLoans!$M21&lt;&gt;0,CUMPRINC(((365/360)*E21)/O21,N21,F21,1+Q21,Q21+Q21,0)*-1,)),ProposedLoans!$AA21)</f>
        <v/>
      </c>
      <c r="AE15" s="680">
        <f>IF(M21&gt;0,IF(I21="Yes",AC21-AD15,AC21),0)</f>
        <v>0</v>
      </c>
      <c r="AF15" s="651" t="str">
        <f>IF(D21&gt;0,D21,"")</f>
        <v/>
      </c>
      <c r="AG15" s="665" t="str">
        <f>IF(OR(D21="Operating-Ag",D21="Operating-Direct Mkt")=TRUE,AB21,AD15)</f>
        <v/>
      </c>
      <c r="AH15" s="665">
        <f>IF(OR(E21="Operating-Ag",D21="Operating-Direct Mkt")=TRUE,AC21,AE15)</f>
        <v>0</v>
      </c>
    </row>
    <row r="16" spans="1:34" s="94" customFormat="1" ht="24.95" customHeight="1" x14ac:dyDescent="0.2">
      <c r="A16" s="459"/>
      <c r="B16" s="468"/>
      <c r="C16" s="468"/>
      <c r="D16" s="468"/>
      <c r="E16" s="679"/>
      <c r="F16" s="469"/>
      <c r="G16" s="469"/>
      <c r="H16" s="470"/>
      <c r="I16" s="470"/>
      <c r="J16" s="470"/>
      <c r="K16" s="470"/>
      <c r="L16" s="465" t="str">
        <f>IF($H16&gt;0,DATE(H16,INDEX(Inputs!$C$4:$D$15,MATCH(K16,Months,0),2),1),"")</f>
        <v/>
      </c>
      <c r="M16" s="470"/>
      <c r="N16" s="585" t="str">
        <f>IF(ProposedLoans!$M16&gt;0,ProposedLoans!$J16*ProposedLoans!$O16,"")</f>
        <v/>
      </c>
      <c r="O16" s="585" t="str">
        <f t="shared" si="1"/>
        <v/>
      </c>
      <c r="P16" s="586" t="str">
        <f t="shared" si="2"/>
        <v/>
      </c>
      <c r="Q16" s="586">
        <f t="shared" si="3"/>
        <v>1</v>
      </c>
      <c r="R16" s="585" t="str">
        <f t="shared" si="4"/>
        <v/>
      </c>
      <c r="S16" s="587" t="str">
        <f>IF(I16="No",0,IF(ProposedLoans!$M16&gt;0,IF(R16=1,U16/Q16,(U16/Q16)),""))</f>
        <v/>
      </c>
      <c r="T16" s="587" t="str">
        <f>IF(I16="no",0,IF(ProposedLoans!$M16&gt;0,IF(R16=1,V16/Q16,R16*(V16/Q16)),""))</f>
        <v/>
      </c>
      <c r="U16" s="587" t="str">
        <f>IF(I16="No",0,IF(E16&gt;0,IF(ProposedLoans!$M16&lt;&gt;0,CUMPRINC(((365/360)*E16)/O16,N16,F16,1,Q16,0)*-1,),ProposedLoans!$AA16))</f>
        <v/>
      </c>
      <c r="V16" s="587">
        <f>IF(I16="no",0,IF(E16&gt;0,IF(ProposedLoans!$M16&lt;&gt;0,IF(OR(D16="Operating-Ag",D16="operating-Direct Mkt")=TRUE,(1-X16)*CUMIPMT(((365/360)*E16)/O16,N16,F16,1,Q16,0)*-1,CUMIPMT(((365/360)*E16)/O16,N16,F16,1,Q16,0)*-1),0),0))</f>
        <v>0</v>
      </c>
      <c r="W16" s="587">
        <f>IF(I16="no",0,IF(OR(D16="Operating-Ag",D16="Operating-DM")=TRUE,0,IF(E16&gt;0,IF(ProposedLoans!$M16&lt;&gt;0,CUMIPMT(((365/360)*E16)/O16,N16+Q16,F16,Q16+1,Q16+Q16,0)*-1,),0))*X16)</f>
        <v>0</v>
      </c>
      <c r="X16" s="661">
        <f>IF(M16&gt;0,INDEX(Inputs!$J$26:$K$37,MATCH(Y16,Inputs!$J$26:$J$37,0),2)/12,0)</f>
        <v>0</v>
      </c>
      <c r="Y16" s="587" t="str">
        <f t="shared" si="5"/>
        <v/>
      </c>
      <c r="Z16" s="587">
        <f>IF(M16&lt;&gt;0,IF(M16="annual",INDEX(Inputs!$C$4:$E$15,MATCH(ProposedLoans!K16,Months,0),3),IF(M16="semi-annual",IF(Q16=2,CONCATENATE(INDEX(Inputs!$C$4:$E$15,MATCH(ProposedLoans!K16,Months,0),3),",",INDEX(Inputs!$C$4:$E$15,MATCH(MONTH(L16+190),Inputs!$D$4:$D$15,0),3)),INDEX(Inputs!$C$4:$E$15,MATCH(ProposedLoans!K16,Months,0),3)),IF(M16="Quarterly",IF(Q16=4,CONCATENATE(INDEX(Inputs!$C$4:$E$15,MATCH(ProposedLoans!K16,Months,0),3),",",INDEX(Inputs!$C$4:$E$15,MATCH(MONTH(L16+95),Inputs!$D$4:$D$15,0),3),",",INDEX(Inputs!$C$4:$E$15,MATCH(MONTH(L16+190),Inputs!$D$4:$D$15,0),3),",",INDEX(Inputs!$C$4:$E$15,MATCH(MONTH(L16+275),Inputs!$D$4:$D$15,0),3)),IF(Q16=3,CONCATENATE(INDEX(Inputs!$C$4:$E$15,MATCH(ProposedLoans!K16,Months,0),3),",",INDEX(Inputs!$C$4:$E$15,MATCH(MONTH(L16+95),Inputs!$D$4:$D$15,0),3),",",INDEX(Inputs!$C$4:$E$15,MATCH(MONTH(L16+190),Inputs!$D$4:$D$15,0),3)),IF(Q16=2,CONCATENATE(INDEX(Inputs!$C$4:$E$15,MATCH(ProposedLoans!K16,Months,0),3),",",INDEX(Inputs!$C$4:$E$15,MATCH(MONTH(L16+95),Inputs!$D$4:$D$15,0),3)),INDEX(Inputs!$C$4:$E$15,MATCH(ProposedLoans!K16,Months,0),3)))),INDEX(Inputs!$C$4:$F$15,MATCH(ProposedLoans!K16,Months,0),4)))),0)</f>
        <v>0</v>
      </c>
      <c r="AA16" s="466" t="str">
        <f>IF(ProposedLoans!$M16&gt;0,PMT(((365/360)*ProposedLoans!$E16)/ProposedLoans!$O16,ProposedLoans!$N16,ProposedLoans!$F16*-1)*ProposedLoans!$O16,"")</f>
        <v/>
      </c>
      <c r="AB16" s="467">
        <f>IF(I16="no",IF(ProposedLoans!$M16&gt;0,PPMT(((365/360)*ProposedLoans!$E16)/ProposedLoans!$O16,1,ProposedLoans!$N16,ProposedLoans!$F16*-1)*ProposedLoans!$O16,),IF(F16&gt;0,IF(ProposedLoans!$M16&lt;&gt;0,IF(R16=1,U16,IF(E16=0,R16*U16,U16)),ProposedLoans!$AA16),))</f>
        <v>0</v>
      </c>
      <c r="AC16" s="466" t="str">
        <f>IF(ProposedLoans!$M16&gt;0,ProposedLoans!$F16-ProposedLoans!$AB16,"")</f>
        <v/>
      </c>
      <c r="AD16" s="652"/>
      <c r="AE16" s="652"/>
      <c r="AF16" s="652"/>
      <c r="AG16" s="652"/>
      <c r="AH16" s="652"/>
    </row>
    <row r="17" spans="2:36" ht="24.95" customHeight="1" x14ac:dyDescent="0.2">
      <c r="B17" s="468"/>
      <c r="C17" s="468"/>
      <c r="D17" s="468"/>
      <c r="E17" s="679"/>
      <c r="F17" s="469"/>
      <c r="G17" s="469"/>
      <c r="H17" s="470"/>
      <c r="I17" s="470"/>
      <c r="J17" s="470"/>
      <c r="K17" s="470"/>
      <c r="L17" s="465" t="str">
        <f>IF($H17&gt;0,DATE(H17,INDEX(Inputs!$C$4:$D$15,MATCH(K17,Months,0),2),1),"")</f>
        <v/>
      </c>
      <c r="M17" s="470"/>
      <c r="N17" s="585" t="str">
        <f>IF(ProposedLoans!$M17&gt;0,ProposedLoans!$J17*ProposedLoans!$O17,"")</f>
        <v/>
      </c>
      <c r="O17" s="585" t="str">
        <f t="shared" si="1"/>
        <v/>
      </c>
      <c r="P17" s="586" t="str">
        <f t="shared" si="2"/>
        <v/>
      </c>
      <c r="Q17" s="586">
        <f t="shared" si="3"/>
        <v>1</v>
      </c>
      <c r="R17" s="585" t="str">
        <f t="shared" si="4"/>
        <v/>
      </c>
      <c r="S17" s="587" t="str">
        <f>IF(I17="No",0,IF(ProposedLoans!$M17&gt;0,IF(R17=1,U17/Q17,(U17/Q17)),""))</f>
        <v/>
      </c>
      <c r="T17" s="587" t="str">
        <f>IF(I17="no",0,IF(ProposedLoans!$M17&gt;0,IF(R17=1,V17/Q17,R17*(V17/Q17)),""))</f>
        <v/>
      </c>
      <c r="U17" s="587" t="str">
        <f>IF(I17="No",0,IF(E17&gt;0,IF(ProposedLoans!$M17&lt;&gt;0,CUMPRINC(((365/360)*E17)/O17,N17,F17,1,Q17,0)*-1,),ProposedLoans!$AA17))</f>
        <v/>
      </c>
      <c r="V17" s="587">
        <f>IF(I17="no",0,IF(E17&gt;0,IF(ProposedLoans!$M17&lt;&gt;0,IF(OR(D17="Operating-Ag",D17="operating-Direct Mkt")=TRUE,(1-X17)*CUMIPMT(((365/360)*E17)/O17,N17,F17,1,Q17,0)*-1,CUMIPMT(((365/360)*E17)/O17,N17,F17,1,Q17,0)*-1),0),0))</f>
        <v>0</v>
      </c>
      <c r="W17" s="587">
        <f>IF(I17="no",0,IF(OR(D17="Operating-Ag",D17="Operating-DM")=TRUE,0,IF(E17&gt;0,IF(ProposedLoans!$M17&lt;&gt;0,CUMIPMT(((365/360)*E17)/O17,N17+Q17,F17,Q17+1,Q17+Q17,0)*-1,),0))*X17)</f>
        <v>0</v>
      </c>
      <c r="X17" s="661">
        <f>IF(M17&gt;0,INDEX(Inputs!$J$26:$K$37,MATCH(Y17,Inputs!$J$26:$J$37,0),2)/12,0)</f>
        <v>0</v>
      </c>
      <c r="Y17" s="587" t="str">
        <f t="shared" si="5"/>
        <v/>
      </c>
      <c r="Z17" s="587">
        <f>IF(M17&lt;&gt;0,IF(M17="annual",INDEX(Inputs!$C$4:$E$15,MATCH(ProposedLoans!K17,Months,0),3),IF(M17="semi-annual",IF(Q17=2,CONCATENATE(INDEX(Inputs!$C$4:$E$15,MATCH(ProposedLoans!K17,Months,0),3),",",INDEX(Inputs!$C$4:$E$15,MATCH(MONTH(L17+190),Inputs!$D$4:$D$15,0),3)),INDEX(Inputs!$C$4:$E$15,MATCH(ProposedLoans!K17,Months,0),3)),IF(M17="Quarterly",IF(Q17=4,CONCATENATE(INDEX(Inputs!$C$4:$E$15,MATCH(ProposedLoans!K17,Months,0),3),",",INDEX(Inputs!$C$4:$E$15,MATCH(MONTH(L17+95),Inputs!$D$4:$D$15,0),3),",",INDEX(Inputs!$C$4:$E$15,MATCH(MONTH(L17+190),Inputs!$D$4:$D$15,0),3),",",INDEX(Inputs!$C$4:$E$15,MATCH(MONTH(L17+275),Inputs!$D$4:$D$15,0),3)),IF(Q17=3,CONCATENATE(INDEX(Inputs!$C$4:$E$15,MATCH(ProposedLoans!K17,Months,0),3),",",INDEX(Inputs!$C$4:$E$15,MATCH(MONTH(L17+95),Inputs!$D$4:$D$15,0),3),",",INDEX(Inputs!$C$4:$E$15,MATCH(MONTH(L17+190),Inputs!$D$4:$D$15,0),3)),IF(Q17=2,CONCATENATE(INDEX(Inputs!$C$4:$E$15,MATCH(ProposedLoans!K17,Months,0),3),",",INDEX(Inputs!$C$4:$E$15,MATCH(MONTH(L17+95),Inputs!$D$4:$D$15,0),3)),INDEX(Inputs!$C$4:$E$15,MATCH(ProposedLoans!K17,Months,0),3)))),INDEX(Inputs!$C$4:$F$15,MATCH(ProposedLoans!K17,Months,0),4)))),0)</f>
        <v>0</v>
      </c>
      <c r="AA17" s="466" t="str">
        <f>IF(ProposedLoans!$M17&gt;0,PMT(((365/360)*ProposedLoans!$E17)/ProposedLoans!$O17,ProposedLoans!$N17,ProposedLoans!$F17*-1)*ProposedLoans!$O17,"")</f>
        <v/>
      </c>
      <c r="AB17" s="467">
        <f>IF(I17="no",IF(ProposedLoans!$M17&gt;0,PPMT(((365/360)*ProposedLoans!$E17)/ProposedLoans!$O17,1,ProposedLoans!$N17,ProposedLoans!$F17*-1)*ProposedLoans!$O17,),IF(F17&gt;0,IF(ProposedLoans!$M17&lt;&gt;0,IF(R17=1,U17,IF(E17=0,R17*U17,U17)),ProposedLoans!$AA17),))</f>
        <v>0</v>
      </c>
      <c r="AC17" s="466" t="str">
        <f>IF(ProposedLoans!$M17&gt;0,ProposedLoans!$F17-ProposedLoans!$AB17,"")</f>
        <v/>
      </c>
      <c r="AF17" s="704"/>
      <c r="AG17" s="704"/>
      <c r="AH17" s="704"/>
      <c r="AI17" s="704"/>
      <c r="AJ17" s="704"/>
    </row>
    <row r="18" spans="2:36" ht="24.95" customHeight="1" x14ac:dyDescent="0.2">
      <c r="B18" s="468"/>
      <c r="C18" s="468"/>
      <c r="D18" s="468"/>
      <c r="E18" s="679"/>
      <c r="F18" s="469"/>
      <c r="G18" s="469"/>
      <c r="H18" s="470"/>
      <c r="I18" s="470"/>
      <c r="J18" s="470"/>
      <c r="K18" s="470"/>
      <c r="L18" s="465" t="str">
        <f>IF($H18&gt;0,DATE(H18,INDEX(Inputs!$C$4:$D$15,MATCH(K18,Months,0),2),1),"")</f>
        <v/>
      </c>
      <c r="M18" s="470"/>
      <c r="N18" s="585" t="str">
        <f>IF(ProposedLoans!$M18&gt;0,ProposedLoans!$J18*ProposedLoans!$O18,"")</f>
        <v/>
      </c>
      <c r="O18" s="585" t="str">
        <f t="shared" si="1"/>
        <v/>
      </c>
      <c r="P18" s="586" t="str">
        <f t="shared" si="2"/>
        <v/>
      </c>
      <c r="Q18" s="586">
        <f t="shared" si="3"/>
        <v>1</v>
      </c>
      <c r="R18" s="585" t="str">
        <f t="shared" si="4"/>
        <v/>
      </c>
      <c r="S18" s="587" t="str">
        <f>IF(I18="No",0,IF(ProposedLoans!$M18&gt;0,IF(R18=1,U18/Q18,(U18/Q18)),""))</f>
        <v/>
      </c>
      <c r="T18" s="587" t="str">
        <f>IF(I18="no",0,IF(ProposedLoans!$M18&gt;0,IF(R18=1,V18/Q18,R18*(V18/Q18)),""))</f>
        <v/>
      </c>
      <c r="U18" s="587" t="str">
        <f>IF(I18="No",0,IF(E18&gt;0,IF(ProposedLoans!$M18&lt;&gt;0,CUMPRINC(((365/360)*E18)/O18,N18,F18,1,Q18,0)*-1,),ProposedLoans!$AA18))</f>
        <v/>
      </c>
      <c r="V18" s="587">
        <f>IF(I18="no",0,IF(E18&gt;0,IF(ProposedLoans!$M18&lt;&gt;0,IF(OR(D18="Operating-Ag",D18="operating-Direct Mkt")=TRUE,(1-X18)*CUMIPMT(((365/360)*E18)/O18,N18,F18,1,Q18,0)*-1,CUMIPMT(((365/360)*E18)/O18,N18,F18,1,Q18,0)*-1),0),0))</f>
        <v>0</v>
      </c>
      <c r="W18" s="587">
        <f>IF(I18="no",0,IF(OR(D18="Operating-Ag",D18="Operating-DM")=TRUE,0,IF(E18&gt;0,IF(ProposedLoans!$M18&lt;&gt;0,CUMIPMT(((365/360)*E18)/O18,N18+Q18,F18,Q18+1,Q18+Q18,0)*-1,),0))*X18)</f>
        <v>0</v>
      </c>
      <c r="X18" s="661">
        <f>IF(M18&gt;0,INDEX(Inputs!$J$26:$K$37,MATCH(Y18,Inputs!$J$26:$J$37,0),2)/12,0)</f>
        <v>0</v>
      </c>
      <c r="Y18" s="587" t="str">
        <f t="shared" si="5"/>
        <v/>
      </c>
      <c r="Z18" s="587">
        <f>IF(M18&lt;&gt;0,IF(M18="annual",INDEX(Inputs!$C$4:$E$15,MATCH(ProposedLoans!K18,Months,0),3),IF(M18="semi-annual",IF(Q18=2,CONCATENATE(INDEX(Inputs!$C$4:$E$15,MATCH(ProposedLoans!K18,Months,0),3),",",INDEX(Inputs!$C$4:$E$15,MATCH(MONTH(L18+190),Inputs!$D$4:$D$15,0),3)),INDEX(Inputs!$C$4:$E$15,MATCH(ProposedLoans!K18,Months,0),3)),IF(M18="Quarterly",IF(Q18=4,CONCATENATE(INDEX(Inputs!$C$4:$E$15,MATCH(ProposedLoans!K18,Months,0),3),",",INDEX(Inputs!$C$4:$E$15,MATCH(MONTH(L18+95),Inputs!$D$4:$D$15,0),3),",",INDEX(Inputs!$C$4:$E$15,MATCH(MONTH(L18+190),Inputs!$D$4:$D$15,0),3),",",INDEX(Inputs!$C$4:$E$15,MATCH(MONTH(L18+275),Inputs!$D$4:$D$15,0),3)),IF(Q18=3,CONCATENATE(INDEX(Inputs!$C$4:$E$15,MATCH(ProposedLoans!K18,Months,0),3),",",INDEX(Inputs!$C$4:$E$15,MATCH(MONTH(L18+95),Inputs!$D$4:$D$15,0),3),",",INDEX(Inputs!$C$4:$E$15,MATCH(MONTH(L18+190),Inputs!$D$4:$D$15,0),3)),IF(Q18=2,CONCATENATE(INDEX(Inputs!$C$4:$E$15,MATCH(ProposedLoans!K18,Months,0),3),",",INDEX(Inputs!$C$4:$E$15,MATCH(MONTH(L18+95),Inputs!$D$4:$D$15,0),3)),INDEX(Inputs!$C$4:$E$15,MATCH(ProposedLoans!K18,Months,0),3)))),INDEX(Inputs!$C$4:$F$15,MATCH(ProposedLoans!K18,Months,0),4)))),0)</f>
        <v>0</v>
      </c>
      <c r="AA18" s="466" t="str">
        <f>IF(ProposedLoans!$M18&gt;0,PMT(((365/360)*ProposedLoans!$E18)/ProposedLoans!$O18,ProposedLoans!$N18,ProposedLoans!$F18*-1)*ProposedLoans!$O18,"")</f>
        <v/>
      </c>
      <c r="AB18" s="467">
        <f>IF(I18="no",IF(ProposedLoans!$M18&gt;0,PPMT(((365/360)*ProposedLoans!$E18)/ProposedLoans!$O18,1,ProposedLoans!$N18,ProposedLoans!$F18*-1)*ProposedLoans!$O18,),IF(F18&gt;0,IF(ProposedLoans!$M18&lt;&gt;0,IF(R18=1,U18,IF(E18=0,R18*U18,U18)),ProposedLoans!$AA18),))</f>
        <v>0</v>
      </c>
      <c r="AC18" s="466" t="str">
        <f>IF(ProposedLoans!$M18&gt;0,ProposedLoans!$F18-ProposedLoans!$AB18,"")</f>
        <v/>
      </c>
      <c r="AF18" s="704"/>
      <c r="AG18" s="704"/>
      <c r="AH18" s="704"/>
      <c r="AI18" s="704"/>
      <c r="AJ18" s="704"/>
    </row>
    <row r="19" spans="2:36" ht="24.95" customHeight="1" x14ac:dyDescent="0.2">
      <c r="B19" s="468"/>
      <c r="C19" s="468"/>
      <c r="D19" s="468"/>
      <c r="E19" s="679"/>
      <c r="F19" s="469"/>
      <c r="G19" s="469"/>
      <c r="H19" s="470"/>
      <c r="I19" s="470"/>
      <c r="J19" s="470"/>
      <c r="K19" s="470"/>
      <c r="L19" s="465" t="str">
        <f>IF($H19&gt;0,DATE(H19,INDEX(Inputs!$C$4:$D$15,MATCH(K19,Months,0),2),1),"")</f>
        <v/>
      </c>
      <c r="M19" s="470"/>
      <c r="N19" s="585" t="str">
        <f>IF(ProposedLoans!$M19&gt;0,ProposedLoans!$J19*ProposedLoans!$O19,"")</f>
        <v/>
      </c>
      <c r="O19" s="585" t="str">
        <f t="shared" si="1"/>
        <v/>
      </c>
      <c r="P19" s="586" t="str">
        <f t="shared" si="2"/>
        <v/>
      </c>
      <c r="Q19" s="586">
        <f t="shared" si="3"/>
        <v>1</v>
      </c>
      <c r="R19" s="585" t="str">
        <f t="shared" si="4"/>
        <v/>
      </c>
      <c r="S19" s="587" t="str">
        <f>IF(I19="No",0,IF(ProposedLoans!$M19&gt;0,IF(R19=1,U19/Q19,(U19/Q19)),""))</f>
        <v/>
      </c>
      <c r="T19" s="587" t="str">
        <f>IF(I19="no",0,IF(ProposedLoans!$M19&gt;0,IF(R19=1,V19/Q19,R19*(V19/Q19)),""))</f>
        <v/>
      </c>
      <c r="U19" s="587" t="str">
        <f>IF(I19="No",0,IF(E19&gt;0,IF(ProposedLoans!$M19&lt;&gt;0,CUMPRINC(((365/360)*E19)/O19,N19,F19,1,Q19,0)*-1,),ProposedLoans!$AA19))</f>
        <v/>
      </c>
      <c r="V19" s="587">
        <f>IF(I19="no",0,IF(E19&gt;0,IF(ProposedLoans!$M19&lt;&gt;0,IF(OR(D19="Operating-Ag",D19="operating-Direct Mkt")=TRUE,(1-X19)*CUMIPMT(((365/360)*E19)/O19,N19,F19,1,Q19,0)*-1,CUMIPMT(((365/360)*E19)/O19,N19,F19,1,Q19,0)*-1),0),0))</f>
        <v>0</v>
      </c>
      <c r="W19" s="587">
        <f>IF(I19="no",0,IF(OR(D19="Operating-Ag",D19="Operating-DM")=TRUE,0,IF(E19&gt;0,IF(ProposedLoans!$M19&lt;&gt;0,CUMIPMT(((365/360)*E19)/O19,N19+Q19,F19,Q19+1,Q19+Q19,0)*-1,),0))*X19)</f>
        <v>0</v>
      </c>
      <c r="X19" s="661">
        <f>IF(M19&gt;0,INDEX(Inputs!$J$26:$K$37,MATCH(Y19,Inputs!$J$26:$J$37,0),2)/12,0)</f>
        <v>0</v>
      </c>
      <c r="Y19" s="587" t="str">
        <f t="shared" si="5"/>
        <v/>
      </c>
      <c r="Z19" s="587">
        <f>IF(M19&lt;&gt;0,IF(M19="annual",INDEX(Inputs!$C$4:$E$15,MATCH(ProposedLoans!K19,Months,0),3),IF(M19="semi-annual",IF(Q19=2,CONCATENATE(INDEX(Inputs!$C$4:$E$15,MATCH(ProposedLoans!K19,Months,0),3),",",INDEX(Inputs!$C$4:$E$15,MATCH(MONTH(L19+190),Inputs!$D$4:$D$15,0),3)),INDEX(Inputs!$C$4:$E$15,MATCH(ProposedLoans!K19,Months,0),3)),IF(M19="Quarterly",IF(Q19=4,CONCATENATE(INDEX(Inputs!$C$4:$E$15,MATCH(ProposedLoans!K19,Months,0),3),",",INDEX(Inputs!$C$4:$E$15,MATCH(MONTH(L19+95),Inputs!$D$4:$D$15,0),3),",",INDEX(Inputs!$C$4:$E$15,MATCH(MONTH(L19+190),Inputs!$D$4:$D$15,0),3),",",INDEX(Inputs!$C$4:$E$15,MATCH(MONTH(L19+275),Inputs!$D$4:$D$15,0),3)),IF(Q19=3,CONCATENATE(INDEX(Inputs!$C$4:$E$15,MATCH(ProposedLoans!K19,Months,0),3),",",INDEX(Inputs!$C$4:$E$15,MATCH(MONTH(L19+95),Inputs!$D$4:$D$15,0),3),",",INDEX(Inputs!$C$4:$E$15,MATCH(MONTH(L19+190),Inputs!$D$4:$D$15,0),3)),IF(Q19=2,CONCATENATE(INDEX(Inputs!$C$4:$E$15,MATCH(ProposedLoans!K19,Months,0),3),",",INDEX(Inputs!$C$4:$E$15,MATCH(MONTH(L19+95),Inputs!$D$4:$D$15,0),3)),INDEX(Inputs!$C$4:$E$15,MATCH(ProposedLoans!K19,Months,0),3)))),INDEX(Inputs!$C$4:$F$15,MATCH(ProposedLoans!K19,Months,0),4)))),0)</f>
        <v>0</v>
      </c>
      <c r="AA19" s="466" t="str">
        <f>IF(ProposedLoans!$M19&gt;0,PMT(((365/360)*ProposedLoans!$E19)/ProposedLoans!$O19,ProposedLoans!$N19,ProposedLoans!$F19*-1)*ProposedLoans!$O19,"")</f>
        <v/>
      </c>
      <c r="AB19" s="467">
        <f>IF(I19="no",IF(ProposedLoans!$M19&gt;0,PPMT(((365/360)*ProposedLoans!$E19)/ProposedLoans!$O19,1,ProposedLoans!$N19,ProposedLoans!$F19*-1)*ProposedLoans!$O19,),IF(F19&gt;0,IF(ProposedLoans!$M19&lt;&gt;0,IF(R19=1,U19,IF(E19=0,R19*U19,U19)),ProposedLoans!$AA19),))</f>
        <v>0</v>
      </c>
      <c r="AC19" s="466" t="str">
        <f>IF(ProposedLoans!$M19&gt;0,ProposedLoans!$F19-ProposedLoans!$AB19,"")</f>
        <v/>
      </c>
      <c r="AF19" s="704"/>
      <c r="AG19" s="704" t="s">
        <v>423</v>
      </c>
      <c r="AH19" s="704" t="s">
        <v>424</v>
      </c>
      <c r="AI19" s="704" t="s">
        <v>433</v>
      </c>
      <c r="AJ19" s="704" t="s">
        <v>441</v>
      </c>
    </row>
    <row r="20" spans="2:36" ht="24.95" customHeight="1" x14ac:dyDescent="0.2">
      <c r="B20" s="462"/>
      <c r="C20" s="462"/>
      <c r="D20" s="462"/>
      <c r="E20" s="678"/>
      <c r="F20" s="463"/>
      <c r="G20" s="463"/>
      <c r="H20" s="464"/>
      <c r="I20" s="464"/>
      <c r="J20" s="464"/>
      <c r="K20" s="464"/>
      <c r="L20" s="465" t="str">
        <f>IF($H20&gt;0,DATE(H20,INDEX(Inputs!$C$4:$D$15,MATCH(K20,Months,0),2),1),"")</f>
        <v/>
      </c>
      <c r="M20" s="464"/>
      <c r="N20" s="585" t="str">
        <f>IF(ProposedLoans!$M20&gt;0,ProposedLoans!$J20*ProposedLoans!$O20,"")</f>
        <v/>
      </c>
      <c r="O20" s="585" t="str">
        <f t="shared" si="1"/>
        <v/>
      </c>
      <c r="P20" s="586" t="str">
        <f>IF(I20="no",0,IF(M20&gt;0,IF(M20="Annual",1,(YEARFRAC(L20,A14,))*12),""))</f>
        <v/>
      </c>
      <c r="Q20" s="586">
        <f t="shared" si="3"/>
        <v>1</v>
      </c>
      <c r="R20" s="585" t="str">
        <f t="shared" si="4"/>
        <v/>
      </c>
      <c r="S20" s="587" t="str">
        <f>IF(I20="No",0,IF(ProposedLoans!$M20&gt;0,IF(R20=1,U20/Q20,(U20/Q20)),""))</f>
        <v/>
      </c>
      <c r="T20" s="587" t="str">
        <f>IF(I20="no",0,IF(ProposedLoans!$M20&gt;0,IF(R20=1,V20/Q20,R20*(V20/Q20)),""))</f>
        <v/>
      </c>
      <c r="U20" s="587" t="str">
        <f>IF(I20="No",0,IF(E20&gt;0,IF(ProposedLoans!$M20&lt;&gt;0,CUMPRINC(((365/360)*E20)/O20,N20,F20,1,Q20,0)*-1,),ProposedLoans!$AA20))</f>
        <v/>
      </c>
      <c r="V20" s="587">
        <f>IF(I20="no",0,IF(E20&gt;0,IF(ProposedLoans!$M20&lt;&gt;0,IF(OR(D20="Operating-Ag",D20="operating-Direct Mkt")=TRUE,(1-X20)*CUMIPMT(((365/360)*E20)/O20,N20,F20,1,Q20,0)*-1,CUMIPMT(((365/360)*E20)/O20,N20,F20,1,Q20,0)*-1),0),0))</f>
        <v>0</v>
      </c>
      <c r="W20" s="587">
        <f>IF(I20="no",0,IF(OR(D20="Operating-Ag",D20="Operating-DM")=TRUE,0,IF(E20&gt;0,IF(ProposedLoans!$M20&lt;&gt;0,CUMIPMT(((365/360)*E20)/O20,N20+Q20,F20,Q20+1,Q20+Q20,0)*-1,),0))*X20)</f>
        <v>0</v>
      </c>
      <c r="X20" s="661">
        <f>IF(M20&gt;0,INDEX(Inputs!$J$26:$K$37,MATCH(Y20,Inputs!$J$26:$J$37,0),2)/12,0)</f>
        <v>0</v>
      </c>
      <c r="Y20" s="587" t="str">
        <f t="shared" si="5"/>
        <v/>
      </c>
      <c r="Z20" s="587">
        <f>IF(M20&lt;&gt;0,IF(M20="annual",INDEX(Inputs!$C$4:$E$15,MATCH(ProposedLoans!K20,Months,0),3),IF(M20="semi-annual",IF(Q20=2,CONCATENATE(INDEX(Inputs!$C$4:$E$15,MATCH(ProposedLoans!K20,Months,0),3),",",INDEX(Inputs!$C$4:$E$15,MATCH(MONTH(L20+190),Inputs!$D$4:$D$15,0),3)),INDEX(Inputs!$C$4:$E$15,MATCH(ProposedLoans!K20,Months,0),3)),IF(M20="Quarterly",IF(Q20=4,CONCATENATE(INDEX(Inputs!$C$4:$E$15,MATCH(ProposedLoans!K20,Months,0),3),",",INDEX(Inputs!$C$4:$E$15,MATCH(MONTH(L20+95),Inputs!$D$4:$D$15,0),3),",",INDEX(Inputs!$C$4:$E$15,MATCH(MONTH(L20+190),Inputs!$D$4:$D$15,0),3),",",INDEX(Inputs!$C$4:$E$15,MATCH(MONTH(L20+275),Inputs!$D$4:$D$15,0),3)),IF(Q20=3,CONCATENATE(INDEX(Inputs!$C$4:$E$15,MATCH(ProposedLoans!K20,Months,0),3),",",INDEX(Inputs!$C$4:$E$15,MATCH(MONTH(L20+95),Inputs!$D$4:$D$15,0),3),",",INDEX(Inputs!$C$4:$E$15,MATCH(MONTH(L20+190),Inputs!$D$4:$D$15,0),3)),IF(Q20=2,CONCATENATE(INDEX(Inputs!$C$4:$E$15,MATCH(ProposedLoans!K20,Months,0),3),",",INDEX(Inputs!$C$4:$E$15,MATCH(MONTH(L20+95),Inputs!$D$4:$D$15,0),3)),INDEX(Inputs!$C$4:$E$15,MATCH(ProposedLoans!K20,Months,0),3)))),INDEX(Inputs!$C$4:$F$15,MATCH(ProposedLoans!K20,Months,0),4)))),0)</f>
        <v>0</v>
      </c>
      <c r="AA20" s="466" t="str">
        <f>IF(ProposedLoans!$M20&gt;0,PMT(((365/360)*ProposedLoans!$E20)/ProposedLoans!$O20,ProposedLoans!$N20,ProposedLoans!$F20*-1)*ProposedLoans!$O20,"")</f>
        <v/>
      </c>
      <c r="AB20" s="467">
        <f>IF(I20="no",IF(ProposedLoans!$M20&gt;0,PPMT(((365/360)*ProposedLoans!$E20)/ProposedLoans!$O20,1,ProposedLoans!$N20,ProposedLoans!$F20*-1)*ProposedLoans!$O20,),IF(F20&gt;0,IF(ProposedLoans!$M20&lt;&gt;0,IF(R20=1,U20,IF(E20=0,R20*U20,U20)),ProposedLoans!$AA20),))</f>
        <v>0</v>
      </c>
      <c r="AC20" s="466" t="str">
        <f>IF(ProposedLoans!$M20&gt;0,ProposedLoans!$F20-ProposedLoans!$AB20,"")</f>
        <v/>
      </c>
      <c r="AF20" s="704" t="s">
        <v>422</v>
      </c>
      <c r="AG20" s="705">
        <f>SUMIF($AF$6:$AF$15,$AF20,AG$6:AG$15)-MCFPrinOpTot</f>
        <v>0</v>
      </c>
      <c r="AH20" s="705">
        <f>SUMIF($AF$6:$AF$15,$AF20,AH$6:AH$15)</f>
        <v>0</v>
      </c>
      <c r="AI20" s="704">
        <f t="shared" ref="AI20:AI26" si="9">SUMIF($D$6:$D$21,AF20,$AA$6:$AA$21)</f>
        <v>0</v>
      </c>
      <c r="AJ20" s="704">
        <f t="shared" ref="AJ20:AJ25" si="10">SUMIF($D$6:$D$21,AF20,$W$6:$W$21)</f>
        <v>0</v>
      </c>
    </row>
    <row r="21" spans="2:36" ht="24.95" customHeight="1" x14ac:dyDescent="0.2">
      <c r="B21" s="468"/>
      <c r="C21" s="468"/>
      <c r="D21" s="468"/>
      <c r="E21" s="679"/>
      <c r="F21" s="469"/>
      <c r="G21" s="469"/>
      <c r="H21" s="470"/>
      <c r="I21" s="470"/>
      <c r="J21" s="470"/>
      <c r="K21" s="470"/>
      <c r="L21" s="465" t="str">
        <f>IF($H21&gt;0,DATE(H21,INDEX(Inputs!$C$4:$D$15,MATCH(K21,Months,0),2),1),"")</f>
        <v/>
      </c>
      <c r="M21" s="470"/>
      <c r="N21" s="585" t="str">
        <f>IF(ProposedLoans!$M21&gt;0,ProposedLoans!$J21*ProposedLoans!$O21,"")</f>
        <v/>
      </c>
      <c r="O21" s="585" t="str">
        <f t="shared" si="1"/>
        <v/>
      </c>
      <c r="P21" s="586" t="str">
        <f>IF(I21="no",0,IF(M21&gt;0,IF(M21="Annual",1,(YEARFRAC(L21,A15,))*12),""))</f>
        <v/>
      </c>
      <c r="Q21" s="586">
        <f t="shared" si="3"/>
        <v>1</v>
      </c>
      <c r="R21" s="585" t="str">
        <f t="shared" si="4"/>
        <v/>
      </c>
      <c r="S21" s="587" t="str">
        <f>IF(I21="No",0,IF(ProposedLoans!$M21&gt;0,IF(R21=1,U21/Q21,(U21/Q21)),""))</f>
        <v/>
      </c>
      <c r="T21" s="587" t="str">
        <f>IF(I21="no",0,IF(ProposedLoans!$M21&gt;0,IF(R21=1,V21/Q21,R21*(V21/Q21)),""))</f>
        <v/>
      </c>
      <c r="U21" s="587" t="str">
        <f>IF(I21="No",0,IF(E21&gt;0,IF(ProposedLoans!$M21&lt;&gt;0,CUMPRINC(((365/360)*E21)/O21,N21,F21,1,Q21,0)*-1,),ProposedLoans!$AA21))</f>
        <v/>
      </c>
      <c r="V21" s="587">
        <f>IF(I21="no",0,IF(E21&gt;0,IF(ProposedLoans!$M21&lt;&gt;0,IF(OR(D21="Operating-Ag",D21="operating-Direct Mkt")=TRUE,(1-X21)*CUMIPMT(((365/360)*E21)/O21,N21,F21,1,Q21,0)*-1,CUMIPMT(((365/360)*E21)/O21,N21,F21,1,Q21,0)*-1),0),0))</f>
        <v>0</v>
      </c>
      <c r="W21" s="587">
        <f>IF(I21="no",0,IF(OR(D21="Operating-Ag",D21="Operating-DM")=TRUE,0,IF(E21&gt;0,IF(ProposedLoans!$M21&lt;&gt;0,CUMIPMT(((365/360)*E21)/O21,N21+Q21,F21,Q21+1,Q21+Q21,0)*-1,),0))*X21)</f>
        <v>0</v>
      </c>
      <c r="X21" s="661">
        <f>IF(M21&gt;0,INDEX(Inputs!$J$26:$K$37,MATCH(Y21,Inputs!$J$26:$J$37,0),2)/12,0)</f>
        <v>0</v>
      </c>
      <c r="Y21" s="587" t="str">
        <f t="shared" si="5"/>
        <v/>
      </c>
      <c r="Z21" s="587">
        <f>IF(M21&lt;&gt;0,IF(M21="annual",INDEX(Inputs!$C$4:$E$15,MATCH(ProposedLoans!K21,Months,0),3),IF(M21="semi-annual",IF(Q21=2,CONCATENATE(INDEX(Inputs!$C$4:$E$15,MATCH(ProposedLoans!K21,Months,0),3),",",INDEX(Inputs!$C$4:$E$15,MATCH(MONTH(L21+190),Inputs!$D$4:$D$15,0),3)),INDEX(Inputs!$C$4:$E$15,MATCH(ProposedLoans!K21,Months,0),3)),IF(M21="Quarterly",IF(Q21=4,CONCATENATE(INDEX(Inputs!$C$4:$E$15,MATCH(ProposedLoans!K21,Months,0),3),",",INDEX(Inputs!$C$4:$E$15,MATCH(MONTH(L21+95),Inputs!$D$4:$D$15,0),3),",",INDEX(Inputs!$C$4:$E$15,MATCH(MONTH(L21+190),Inputs!$D$4:$D$15,0),3),",",INDEX(Inputs!$C$4:$E$15,MATCH(MONTH(L21+275),Inputs!$D$4:$D$15,0),3)),IF(Q21=3,CONCATENATE(INDEX(Inputs!$C$4:$E$15,MATCH(ProposedLoans!K21,Months,0),3),",",INDEX(Inputs!$C$4:$E$15,MATCH(MONTH(L21+95),Inputs!$D$4:$D$15,0),3),",",INDEX(Inputs!$C$4:$E$15,MATCH(MONTH(L21+190),Inputs!$D$4:$D$15,0),3)),IF(Q21=2,CONCATENATE(INDEX(Inputs!$C$4:$E$15,MATCH(ProposedLoans!K21,Months,0),3),",",INDEX(Inputs!$C$4:$E$15,MATCH(MONTH(L21+95),Inputs!$D$4:$D$15,0),3)),INDEX(Inputs!$C$4:$E$15,MATCH(ProposedLoans!K21,Months,0),3)))),INDEX(Inputs!$C$4:$F$15,MATCH(ProposedLoans!K21,Months,0),4)))),0)</f>
        <v>0</v>
      </c>
      <c r="AA21" s="466" t="str">
        <f>IF(ProposedLoans!$M21&gt;0,PMT(((365/360)*ProposedLoans!$E21)/ProposedLoans!$O21,ProposedLoans!$N21,ProposedLoans!$F21*-1)*ProposedLoans!$O21,"")</f>
        <v/>
      </c>
      <c r="AB21" s="467">
        <f>IF(I21="no",IF(ProposedLoans!$M21&gt;0,PPMT(((365/360)*ProposedLoans!$E21)/ProposedLoans!$O21,1,ProposedLoans!$N21,ProposedLoans!$F21*-1)*ProposedLoans!$O21,),IF(F21&gt;0,IF(ProposedLoans!$M21&lt;&gt;0,IF(R21=1,U21,IF(E21=0,R21*U21,U21)),ProposedLoans!$AA21),))</f>
        <v>0</v>
      </c>
      <c r="AC21" s="466" t="str">
        <f>IF(ProposedLoans!$M21&gt;0,ProposedLoans!$F21-ProposedLoans!$AB21,"")</f>
        <v/>
      </c>
      <c r="AF21" s="704" t="s">
        <v>421</v>
      </c>
      <c r="AG21" s="705">
        <f t="shared" ref="AG21:AH25" si="11">SUMIF($AF$6:$AF$15,$AF21,AG$6:AG$15)</f>
        <v>0</v>
      </c>
      <c r="AH21" s="705">
        <f t="shared" si="11"/>
        <v>0</v>
      </c>
      <c r="AI21" s="704">
        <f t="shared" si="9"/>
        <v>0</v>
      </c>
      <c r="AJ21" s="704">
        <f t="shared" si="10"/>
        <v>0</v>
      </c>
    </row>
    <row r="22" spans="2:36" x14ac:dyDescent="0.2">
      <c r="B22" s="952" t="str">
        <f>CONCATENATE("Sub-Total ",B4)</f>
        <v>Sub-Total Proposed Loans</v>
      </c>
      <c r="C22" s="952"/>
      <c r="D22" s="952"/>
      <c r="E22" s="952"/>
      <c r="F22" s="952"/>
      <c r="G22" s="952"/>
      <c r="H22" s="952"/>
      <c r="I22" s="952"/>
      <c r="J22" s="952"/>
      <c r="K22" s="952"/>
      <c r="L22" s="952"/>
      <c r="M22" s="952"/>
      <c r="N22" s="952"/>
      <c r="O22" s="952"/>
      <c r="P22" s="952"/>
      <c r="Q22" s="952"/>
      <c r="R22" s="952"/>
      <c r="S22" s="952"/>
      <c r="T22" s="952"/>
      <c r="U22" s="952"/>
      <c r="V22" s="952"/>
      <c r="W22" s="952"/>
      <c r="X22" s="952"/>
      <c r="Y22" s="952"/>
      <c r="Z22" s="952"/>
      <c r="AA22" s="952"/>
      <c r="AB22" s="279">
        <f>SUM(AB6:AB21)</f>
        <v>0</v>
      </c>
      <c r="AC22" s="279">
        <f>SUM(AC6:AC21)</f>
        <v>0</v>
      </c>
      <c r="AF22" s="704" t="s">
        <v>177</v>
      </c>
      <c r="AG22" s="705">
        <f t="shared" si="11"/>
        <v>0</v>
      </c>
      <c r="AH22" s="705">
        <f t="shared" si="11"/>
        <v>0</v>
      </c>
      <c r="AI22" s="704">
        <f t="shared" si="9"/>
        <v>0</v>
      </c>
      <c r="AJ22" s="704">
        <f t="shared" si="10"/>
        <v>0</v>
      </c>
    </row>
    <row r="23" spans="2:36" x14ac:dyDescent="0.2">
      <c r="AF23" s="704" t="s">
        <v>215</v>
      </c>
      <c r="AG23" s="705">
        <f t="shared" si="11"/>
        <v>0</v>
      </c>
      <c r="AH23" s="705">
        <f t="shared" si="11"/>
        <v>0</v>
      </c>
      <c r="AI23" s="704">
        <f t="shared" si="9"/>
        <v>0</v>
      </c>
      <c r="AJ23" s="704">
        <f t="shared" si="10"/>
        <v>0</v>
      </c>
    </row>
    <row r="24" spans="2:36" x14ac:dyDescent="0.2">
      <c r="AF24" s="704" t="s">
        <v>178</v>
      </c>
      <c r="AG24" s="705">
        <f t="shared" si="11"/>
        <v>0</v>
      </c>
      <c r="AH24" s="705">
        <f t="shared" si="11"/>
        <v>0</v>
      </c>
      <c r="AI24" s="704">
        <f t="shared" si="9"/>
        <v>0</v>
      </c>
      <c r="AJ24" s="704">
        <f t="shared" si="10"/>
        <v>0</v>
      </c>
    </row>
    <row r="25" spans="2:36" x14ac:dyDescent="0.2">
      <c r="AF25" s="704" t="s">
        <v>237</v>
      </c>
      <c r="AG25" s="705">
        <f t="shared" si="11"/>
        <v>0</v>
      </c>
      <c r="AH25" s="705">
        <f t="shared" si="11"/>
        <v>0</v>
      </c>
      <c r="AI25" s="704">
        <f t="shared" si="9"/>
        <v>0</v>
      </c>
      <c r="AJ25" s="704">
        <f t="shared" si="10"/>
        <v>0</v>
      </c>
    </row>
    <row r="26" spans="2:36" x14ac:dyDescent="0.2">
      <c r="AF26" s="704"/>
      <c r="AG26" s="706">
        <f>SUM(AG20:AG25)</f>
        <v>0</v>
      </c>
      <c r="AH26" s="706">
        <f>SUM(AH20:AH25)</f>
        <v>0</v>
      </c>
      <c r="AI26" s="704">
        <f t="shared" si="9"/>
        <v>0</v>
      </c>
      <c r="AJ26" s="704"/>
    </row>
    <row r="27" spans="2:36" x14ac:dyDescent="0.2">
      <c r="AF27" s="704"/>
      <c r="AG27" s="704"/>
      <c r="AH27" s="704"/>
      <c r="AI27" s="704"/>
      <c r="AJ27" s="704"/>
    </row>
  </sheetData>
  <sheetProtection algorithmName="SHA-512" hashValue="6HEjfgFIB7BQaCQM+C3BpNoofVdMVMlD9zzEEbE2GEH9a/wNFcW24h0KWS0H5ntVK87zA1Nuv3FF8U0Vthu0CA==" saltValue="H6cUI65PnAjLYwTK5tmGnA==" spinCount="100000" sheet="1" objects="1" scenarios="1"/>
  <mergeCells count="5">
    <mergeCell ref="B22:AA22"/>
    <mergeCell ref="AA1:AA2"/>
    <mergeCell ref="AB1:AB2"/>
    <mergeCell ref="B4:AC4"/>
    <mergeCell ref="B1:B2"/>
  </mergeCells>
  <dataValidations count="4">
    <dataValidation type="list" allowBlank="1" showInputMessage="1" showErrorMessage="1" sqref="D6:D21">
      <formula1>"Operating-Ag,Operating-Direct Mkt,Ag Business,Direct Mkt,Personal,Personal-RE"</formula1>
    </dataValidation>
    <dataValidation type="list" allowBlank="1" showInputMessage="1" showErrorMessage="1" sqref="G6:G21 K6:K21">
      <formula1>Months</formula1>
    </dataValidation>
    <dataValidation type="list" allowBlank="1" showInputMessage="1" showErrorMessage="1" error="Please choose how often a payment is made" sqref="M6:M21">
      <formula1>LoanFreq</formula1>
    </dataValidation>
    <dataValidation type="list" allowBlank="1" showInputMessage="1" showErrorMessage="1" sqref="I6:I21">
      <formula1>"Yes,No"</formula1>
    </dataValidation>
  </dataValidations>
  <pageMargins left="0.25" right="0.25" top="0.75" bottom="0.75" header="0.3" footer="0.3"/>
  <pageSetup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34953"/>
  </sheetPr>
  <dimension ref="B1:S95"/>
  <sheetViews>
    <sheetView topLeftCell="A19" workbookViewId="0">
      <selection activeCell="D57" sqref="D57"/>
    </sheetView>
  </sheetViews>
  <sheetFormatPr defaultRowHeight="12.75" x14ac:dyDescent="0.2"/>
  <cols>
    <col min="2" max="2" width="11" customWidth="1"/>
    <col min="3" max="3" width="22.140625" bestFit="1" customWidth="1"/>
    <col min="9" max="9" width="9.5703125" customWidth="1"/>
    <col min="10" max="10" width="14.85546875" customWidth="1"/>
    <col min="11" max="11" width="11.5703125" customWidth="1"/>
    <col min="12" max="13" width="10.28515625" customWidth="1"/>
    <col min="14" max="14" width="6.5703125" customWidth="1"/>
    <col min="16" max="16" width="9.5703125" customWidth="1"/>
    <col min="17" max="17" width="14.85546875" customWidth="1"/>
    <col min="18" max="18" width="11.5703125" customWidth="1"/>
    <col min="19" max="19" width="10.28515625" customWidth="1"/>
  </cols>
  <sheetData>
    <row r="1" spans="2:19" x14ac:dyDescent="0.2">
      <c r="H1" s="57" t="s">
        <v>206</v>
      </c>
    </row>
    <row r="2" spans="2:19" ht="13.5" thickBot="1" x14ac:dyDescent="0.25">
      <c r="B2" s="825" t="s">
        <v>126</v>
      </c>
      <c r="C2" s="826" t="s">
        <v>421</v>
      </c>
      <c r="D2" s="826" t="s">
        <v>179</v>
      </c>
      <c r="E2" s="826" t="s">
        <v>180</v>
      </c>
      <c r="F2" s="826" t="s">
        <v>213</v>
      </c>
      <c r="H2" s="825" t="s">
        <v>200</v>
      </c>
      <c r="I2" s="826" t="s">
        <v>105</v>
      </c>
      <c r="J2" s="826" t="s">
        <v>103</v>
      </c>
      <c r="K2" s="826" t="s">
        <v>101</v>
      </c>
      <c r="L2" s="826" t="s">
        <v>100</v>
      </c>
      <c r="M2" s="826" t="s">
        <v>213</v>
      </c>
      <c r="N2" s="57"/>
      <c r="O2" s="825" t="s">
        <v>200</v>
      </c>
      <c r="P2" s="846" t="s">
        <v>105</v>
      </c>
      <c r="Q2" s="846" t="s">
        <v>103</v>
      </c>
      <c r="R2" s="846" t="s">
        <v>101</v>
      </c>
      <c r="S2" s="846" t="s">
        <v>100</v>
      </c>
    </row>
    <row r="3" spans="2:19" ht="13.5" thickTop="1" x14ac:dyDescent="0.2">
      <c r="B3" s="827" t="s">
        <v>186</v>
      </c>
      <c r="C3" s="828" t="s">
        <v>5</v>
      </c>
      <c r="D3" s="829">
        <f>SUM(ProposedLoansWkst!$I3:$L3)</f>
        <v>0</v>
      </c>
      <c r="E3" s="830">
        <f>SUM(ProposedLoansWkst!$P3:$S3)</f>
        <v>0</v>
      </c>
      <c r="F3" s="830">
        <f>SUM(ProposedLoansWkst!$M3)</f>
        <v>0</v>
      </c>
      <c r="H3" s="843" t="s">
        <v>5</v>
      </c>
      <c r="I3" s="829">
        <f>SUMIFS(ProposedLoans!$S$6:$S$21,ProposedLoans!$D$6:$D$21,$C$2,ProposedLoans!$Z$6:$Z$21,$C3,ProposedLoans!$M$6:$M$21,ProposedLoansWkst!I$2)</f>
        <v>0</v>
      </c>
      <c r="J3" s="830">
        <f>SUMIFS(ProposedLoans!$S$6:$S$21,ProposedLoans!$D$6:$D$21,$C$2,ProposedLoans!$Z$6:$Z$21,"*Jan*",ProposedLoans!$M$6:$M$21,ProposedLoansWkst!J$2)</f>
        <v>0</v>
      </c>
      <c r="K3" s="830">
        <f>SUMIFS(ProposedLoans!$S$6:$S$21,ProposedLoans!$D$6:$D$21,$C$2,ProposedLoans!$Z$6:$Z$21,"*Jan*",ProposedLoans!$M$6:$M$21,ProposedLoansWkst!K$2)</f>
        <v>0</v>
      </c>
      <c r="L3" s="830">
        <f>SUMIFS(ProposedLoans!$S$6:$S$21,ProposedLoans!$D$6:$D$21,$C$2,ProposedLoans!$Z$6:$Z$21,"*Jan*",ProposedLoans!$M$6:$M$21,ProposedLoansWkst!L$2)</f>
        <v>0</v>
      </c>
      <c r="M3" s="830">
        <f>SUMIFS(ProposedLoans!$F$6:$F$21,ProposedLoans!$D$6:$D$21,$C$2,ProposedLoans!$G$6:$G$21,"*Jan*")</f>
        <v>0</v>
      </c>
      <c r="O3" s="843" t="s">
        <v>5</v>
      </c>
      <c r="P3" s="830">
        <f>SUMIFS(ProposedLoans!$T$6:$T$21,ProposedLoans!$D$6:$D$21,$C$2,ProposedLoans!$Z$6:$Z$21,$C3,ProposedLoans!$M$6:$M$21,ProposedLoansWkst!I$2)</f>
        <v>0</v>
      </c>
      <c r="Q3" s="830">
        <f>SUMIFS(ProposedLoans!$T$6:$T$21,ProposedLoans!$D$6:$D$21,$C$2,ProposedLoans!$Z$6:$Z$21,"*Jan*",ProposedLoans!$M$6:$M$21,ProposedLoansWkst!Q$2)</f>
        <v>0</v>
      </c>
      <c r="R3" s="830">
        <f>SUMIFS(ProposedLoans!$T$6:$T$21,ProposedLoans!$D$6:$D$21,$C$2,ProposedLoans!$Z$6:$Z$21,"*Jan*",ProposedLoans!$M$6:$M$21,ProposedLoansWkst!R$2)</f>
        <v>0</v>
      </c>
      <c r="S3" s="830">
        <f>SUMIFS(ProposedLoans!$T$6:$T$21,ProposedLoans!$D$6:$D$21,$C$2,ProposedLoans!$Z$6:$Z$21,"*Jan*",ProposedLoans!$M$6:$M$21,ProposedLoansWkst!S$2)</f>
        <v>0</v>
      </c>
    </row>
    <row r="4" spans="2:19" x14ac:dyDescent="0.2">
      <c r="B4" s="831" t="s">
        <v>187</v>
      </c>
      <c r="C4" s="832" t="s">
        <v>6</v>
      </c>
      <c r="D4" s="833">
        <f>SUM(ProposedLoansWkst!$I4:$L4)</f>
        <v>0</v>
      </c>
      <c r="E4" s="834">
        <f>SUM(ProposedLoansWkst!$P4:$S4)</f>
        <v>0</v>
      </c>
      <c r="F4" s="834">
        <f>SUM(ProposedLoansWkst!$M4)</f>
        <v>0</v>
      </c>
      <c r="H4" s="844" t="s">
        <v>6</v>
      </c>
      <c r="I4" s="833">
        <f>SUMIFS(ProposedLoans!$S$6:$S$21,ProposedLoans!$D$6:$D$21,$C$2,ProposedLoans!$Z$6:$Z$21,$C4,ProposedLoans!$M$6:$M$21,ProposedLoansWkst!I$2)</f>
        <v>0</v>
      </c>
      <c r="J4" s="834">
        <f>SUMIFS(ProposedLoans!$S$6:$S$21,ProposedLoans!$D$6:$D$21,$C$2,ProposedLoans!$Z$6:$Z$21,"*Feb*",ProposedLoans!$M$6:$M$21,ProposedLoansWkst!J$2)</f>
        <v>0</v>
      </c>
      <c r="K4" s="834">
        <f>SUMIFS(ProposedLoans!$S$6:$S$21,ProposedLoans!$D$6:$D$21,$C$2,ProposedLoans!$Z$6:$Z$21,"*Feb*",ProposedLoans!$M$6:$M$21,ProposedLoansWkst!K$2)</f>
        <v>0</v>
      </c>
      <c r="L4" s="834">
        <f>SUMIFS(ProposedLoans!$S$6:$S$21,ProposedLoans!$D$6:$D$21,$C$2,ProposedLoans!$Z$6:$Z$21,"*Feb*",ProposedLoans!$M$6:$M$21,ProposedLoansWkst!L$2)</f>
        <v>0</v>
      </c>
      <c r="M4" s="834">
        <f>SUMIFS(ProposedLoans!$F$6:$F$21,ProposedLoans!$D$6:$D$21,$C$2,ProposedLoans!$G$6:$G$21,"*Feb*")</f>
        <v>0</v>
      </c>
      <c r="O4" s="844" t="s">
        <v>6</v>
      </c>
      <c r="P4" s="834">
        <f>SUMIFS(ProposedLoans!$T$6:$T$21,ProposedLoans!$D$6:$D$21,$C$2,ProposedLoans!$Z$6:$Z$21,$C4,ProposedLoans!$M$6:$M$21,ProposedLoansWkst!I$2)</f>
        <v>0</v>
      </c>
      <c r="Q4" s="834">
        <f>SUMIFS(ProposedLoans!$T$6:$T$21,ProposedLoans!$D$6:$D$21,$C$2,ProposedLoans!$Z$6:$Z$21,"*Feb*",ProposedLoans!$M$6:$M$21,ProposedLoansWkst!Q$2)</f>
        <v>0</v>
      </c>
      <c r="R4" s="834">
        <f>SUMIFS(ProposedLoans!$T$6:$T$21,ProposedLoans!$D$6:$D$21,$C$2,ProposedLoans!$Z$6:$Z$21,"*Feb*",ProposedLoans!$M$6:$M$21,ProposedLoansWkst!R$2)</f>
        <v>0</v>
      </c>
      <c r="S4" s="834">
        <f>SUMIFS(ProposedLoans!$T$6:$T$21,ProposedLoans!$D$6:$D$21,$C$2,ProposedLoans!$Z$6:$Z$21,"*Feb*",ProposedLoans!$M$6:$M$21,ProposedLoansWkst!S$2)</f>
        <v>0</v>
      </c>
    </row>
    <row r="5" spans="2:19" x14ac:dyDescent="0.2">
      <c r="B5" s="835" t="s">
        <v>188</v>
      </c>
      <c r="C5" s="836" t="s">
        <v>7</v>
      </c>
      <c r="D5" s="837">
        <f>SUM(ProposedLoansWkst!$I5:$L5)</f>
        <v>0</v>
      </c>
      <c r="E5" s="838">
        <f>SUM(ProposedLoansWkst!$P5:$S5)</f>
        <v>0</v>
      </c>
      <c r="F5" s="838">
        <f>SUM(ProposedLoansWkst!$M5)</f>
        <v>0</v>
      </c>
      <c r="H5" s="835" t="s">
        <v>7</v>
      </c>
      <c r="I5" s="837">
        <f>SUMIFS(ProposedLoans!$S$6:$S$21,ProposedLoans!$D$6:$D$21,$C$2,ProposedLoans!$Z$6:$Z$21,$C5,ProposedLoans!$M$6:$M$21,ProposedLoansWkst!I$2)</f>
        <v>0</v>
      </c>
      <c r="J5" s="838">
        <f>SUMIFS(ProposedLoans!$S$6:$S$21,ProposedLoans!$D$6:$D$21,$C$2,ProposedLoans!$Z$6:$Z$21,"*Mar*",ProposedLoans!$M$6:$M$21,ProposedLoansWkst!J$2)</f>
        <v>0</v>
      </c>
      <c r="K5" s="838">
        <f>SUMIFS(ProposedLoans!$S$6:$S$21,ProposedLoans!$D$6:$D$21,$C$2,ProposedLoans!$Z$6:$Z$21,"*Mar*",ProposedLoans!$M$6:$M$21,ProposedLoansWkst!K$2)</f>
        <v>0</v>
      </c>
      <c r="L5" s="838">
        <f>SUMIFS(ProposedLoans!$S$6:$S$21,ProposedLoans!$D$6:$D$21,$C$2,ProposedLoans!$Z$6:$Z$21,"*Mar*",ProposedLoans!$M$6:$M$21,ProposedLoansWkst!L$2)</f>
        <v>0</v>
      </c>
      <c r="M5" s="838">
        <f>SUMIFS(ProposedLoans!$F$6:$F$21,ProposedLoans!$D$6:$D$21,$C$2,ProposedLoans!$G$6:$G$21,"*Mar*")</f>
        <v>0</v>
      </c>
      <c r="O5" s="835" t="s">
        <v>7</v>
      </c>
      <c r="P5" s="838">
        <f>SUMIFS(ProposedLoans!$T$6:$T$21,ProposedLoans!$D$6:$D$21,$C$2,ProposedLoans!$Z$6:$Z$21,$C5,ProposedLoans!$M$6:$M$21,ProposedLoansWkst!I$2)</f>
        <v>0</v>
      </c>
      <c r="Q5" s="838">
        <f>SUMIFS(ProposedLoans!$T$6:$T$21,ProposedLoans!$D$6:$D$21,$C$2,ProposedLoans!$Z$6:$Z$21,"*Mar*",ProposedLoans!$M$6:$M$21,ProposedLoansWkst!Q$2)</f>
        <v>0</v>
      </c>
      <c r="R5" s="838">
        <f>SUMIFS(ProposedLoans!$T$6:$T$21,ProposedLoans!$D$6:$D$21,$C$2,ProposedLoans!$Z$6:$Z$21,"*Mar*",ProposedLoans!$M$6:$M$21,ProposedLoansWkst!R$2)</f>
        <v>0</v>
      </c>
      <c r="S5" s="838">
        <f>SUMIFS(ProposedLoans!$T$6:$T$21,ProposedLoans!$D$6:$D$21,$C$2,ProposedLoans!$Z$6:$Z$21,"*Mar*",ProposedLoans!$M$6:$M$21,ProposedLoansWkst!S$2)</f>
        <v>0</v>
      </c>
    </row>
    <row r="6" spans="2:19" x14ac:dyDescent="0.2">
      <c r="B6" s="831" t="s">
        <v>189</v>
      </c>
      <c r="C6" s="839" t="s">
        <v>8</v>
      </c>
      <c r="D6" s="833">
        <f>SUM(ProposedLoansWkst!$I6:$L6)</f>
        <v>0</v>
      </c>
      <c r="E6" s="834">
        <f>SUM(ProposedLoansWkst!$P6:$S6)</f>
        <v>0</v>
      </c>
      <c r="F6" s="834">
        <f>SUM(ProposedLoansWkst!$M6)</f>
        <v>0</v>
      </c>
      <c r="H6" s="831" t="s">
        <v>8</v>
      </c>
      <c r="I6" s="833">
        <f>SUMIFS(ProposedLoans!$S$6:$S$21,ProposedLoans!$D$6:$D$21,$C$2,ProposedLoans!$Z$6:$Z$21,$C6,ProposedLoans!$M$6:$M$21,ProposedLoansWkst!I$2)</f>
        <v>0</v>
      </c>
      <c r="J6" s="834">
        <f>SUMIFS(ProposedLoans!$S$6:$S$21,ProposedLoans!$D$6:$D$21,$C$2,ProposedLoans!$Z$6:$Z$21,"*Apr*",ProposedLoans!$M$6:$M$21,ProposedLoansWkst!J$2)</f>
        <v>0</v>
      </c>
      <c r="K6" s="834">
        <f>SUMIFS(ProposedLoans!$S$6:$S$21,ProposedLoans!$D$6:$D$21,$C$2,ProposedLoans!$Z$6:$Z$21,"*Apr*",ProposedLoans!$M$6:$M$21,ProposedLoansWkst!K$2)</f>
        <v>0</v>
      </c>
      <c r="L6" s="834">
        <f>SUMIFS(ProposedLoans!$S$6:$S$21,ProposedLoans!$D$6:$D$21,$C$2,ProposedLoans!$Z$6:$Z$21,"*Apr*",ProposedLoans!$M$6:$M$21,ProposedLoansWkst!L$2)</f>
        <v>0</v>
      </c>
      <c r="M6" s="834">
        <f>SUMIFS(ProposedLoans!$F$6:$F$21,ProposedLoans!$D$6:$D$21,$C$2,ProposedLoans!$G$6:$G$21,"*Apr*")</f>
        <v>0</v>
      </c>
      <c r="O6" s="831" t="s">
        <v>8</v>
      </c>
      <c r="P6" s="834">
        <f>SUMIFS(ProposedLoans!$T$6:$T$21,ProposedLoans!$D$6:$D$21,$C$2,ProposedLoans!$Z$6:$Z$21,$C6,ProposedLoans!$M$6:$M$21,ProposedLoansWkst!I$2)</f>
        <v>0</v>
      </c>
      <c r="Q6" s="834">
        <f>SUMIFS(ProposedLoans!$T$6:$T$21,ProposedLoans!$D$6:$D$21,$C$2,ProposedLoans!$Z$6:$Z$21,"*Apr*",ProposedLoans!$M$6:$M$21,ProposedLoansWkst!Q$2)</f>
        <v>0</v>
      </c>
      <c r="R6" s="834">
        <f>SUMIFS(ProposedLoans!$T$6:$T$21,ProposedLoans!$D$6:$D$21,$C$2,ProposedLoans!$Z$6:$Z$21,"*Apr*",ProposedLoans!$M$6:$M$21,ProposedLoansWkst!R$2)</f>
        <v>0</v>
      </c>
      <c r="S6" s="834">
        <f>SUMIFS(ProposedLoans!$T$6:$T$21,ProposedLoans!$D$6:$D$21,$C$2,ProposedLoans!$Z$6:$Z$21,"*Apr*",ProposedLoans!$M$6:$M$21,ProposedLoansWkst!S$2)</f>
        <v>0</v>
      </c>
    </row>
    <row r="7" spans="2:19" x14ac:dyDescent="0.2">
      <c r="B7" s="835" t="s">
        <v>4</v>
      </c>
      <c r="C7" s="836" t="s">
        <v>4</v>
      </c>
      <c r="D7" s="837">
        <f>SUM(ProposedLoansWkst!$I7:$L7)</f>
        <v>0</v>
      </c>
      <c r="E7" s="838">
        <f>SUM(ProposedLoansWkst!$P7:$S7)</f>
        <v>0</v>
      </c>
      <c r="F7" s="838">
        <f>SUM(ProposedLoansWkst!$M7)</f>
        <v>0</v>
      </c>
      <c r="H7" s="835" t="s">
        <v>4</v>
      </c>
      <c r="I7" s="837">
        <f>SUMIFS(ProposedLoans!$S$6:$S$21,ProposedLoans!$D$6:$D$21,$C$2,ProposedLoans!$Z$6:$Z$21,$C7,ProposedLoans!$M$6:$M$21,ProposedLoansWkst!I$2)</f>
        <v>0</v>
      </c>
      <c r="J7" s="838">
        <f>SUMIFS(ProposedLoans!$S$6:$S$21,ProposedLoans!$D$6:$D$21,$C$2,ProposedLoans!$Z$6:$Z$21,"*May*",ProposedLoans!$M$6:$M$21,ProposedLoansWkst!J$2)</f>
        <v>0</v>
      </c>
      <c r="K7" s="838">
        <f>SUMIFS(ProposedLoans!$S$6:$S$21,ProposedLoans!$D$6:$D$21,$C$2,ProposedLoans!$Z$6:$Z$21,"*May*",ProposedLoans!$M$6:$M$21,ProposedLoansWkst!K$2)</f>
        <v>0</v>
      </c>
      <c r="L7" s="838">
        <f>SUMIFS(ProposedLoans!$S$6:$S$21,ProposedLoans!$D$6:$D$21,$C$2,ProposedLoans!$Z$6:$Z$21,"*May*",ProposedLoans!$M$6:$M$21,ProposedLoansWkst!L$2)</f>
        <v>0</v>
      </c>
      <c r="M7" s="838">
        <f>SUMIFS(ProposedLoans!$F$6:$F$21,ProposedLoans!$D$6:$D$21,$C$2,ProposedLoans!$G$6:$G$21,"*May*")</f>
        <v>0</v>
      </c>
      <c r="O7" s="835" t="s">
        <v>4</v>
      </c>
      <c r="P7" s="838">
        <f>SUMIFS(ProposedLoans!$T$6:$T$21,ProposedLoans!$D$6:$D$21,$C$2,ProposedLoans!$Z$6:$Z$21,$C7,ProposedLoans!$M$6:$M$21,ProposedLoansWkst!I$2)</f>
        <v>0</v>
      </c>
      <c r="Q7" s="838">
        <f>SUMIFS(ProposedLoans!$T$6:$T$21,ProposedLoans!$D$6:$D$21,$C$2,ProposedLoans!$Z$6:$Z$21,"*May*",ProposedLoans!$M$6:$M$21,ProposedLoansWkst!Q$2)</f>
        <v>0</v>
      </c>
      <c r="R7" s="838">
        <f>SUMIFS(ProposedLoans!$T$6:$T$21,ProposedLoans!$D$6:$D$21,$C$2,ProposedLoans!$Z$6:$Z$21,"*May*",ProposedLoans!$M$6:$M$21,ProposedLoansWkst!R$2)</f>
        <v>0</v>
      </c>
      <c r="S7" s="838">
        <f>SUMIFS(ProposedLoans!$T$6:$T$21,ProposedLoans!$D$6:$D$21,$C$2,ProposedLoans!$Z$6:$Z$21,"*May*",ProposedLoans!$M$6:$M$21,ProposedLoansWkst!S$2)</f>
        <v>0</v>
      </c>
    </row>
    <row r="8" spans="2:19" x14ac:dyDescent="0.2">
      <c r="B8" s="831" t="s">
        <v>190</v>
      </c>
      <c r="C8" s="839" t="s">
        <v>9</v>
      </c>
      <c r="D8" s="833">
        <f>SUM(ProposedLoansWkst!$I8:$L8)</f>
        <v>0</v>
      </c>
      <c r="E8" s="834">
        <f>SUM(ProposedLoansWkst!$P8:$S8)</f>
        <v>0</v>
      </c>
      <c r="F8" s="834">
        <f>SUM(ProposedLoansWkst!$M8)</f>
        <v>0</v>
      </c>
      <c r="H8" s="831" t="s">
        <v>9</v>
      </c>
      <c r="I8" s="833">
        <f>SUMIFS(ProposedLoans!$S$6:$S$21,ProposedLoans!$D$6:$D$21,$C$2,ProposedLoans!$Z$6:$Z$21,$C8,ProposedLoans!$M$6:$M$21,ProposedLoansWkst!I$2)</f>
        <v>0</v>
      </c>
      <c r="J8" s="834">
        <f>SUMIFS(ProposedLoans!$S$6:$S$21,ProposedLoans!$D$6:$D$21,$C$2,ProposedLoans!$Z$6:$Z$21,"*Jun*",ProposedLoans!$M$6:$M$21,ProposedLoansWkst!J$2)</f>
        <v>0</v>
      </c>
      <c r="K8" s="834">
        <f>SUMIFS(ProposedLoans!$S$6:$S$21,ProposedLoans!$D$6:$D$21,$C$2,ProposedLoans!$Z$6:$Z$21,"*Jun*",ProposedLoans!$M$6:$M$21,ProposedLoansWkst!K$2)</f>
        <v>0</v>
      </c>
      <c r="L8" s="834">
        <f>SUMIFS(ProposedLoans!$S$6:$S$21,ProposedLoans!$D$6:$D$21,$C$2,ProposedLoans!$Z$6:$Z$21,"*Jun*",ProposedLoans!$M$6:$M$21,ProposedLoansWkst!L$2)</f>
        <v>0</v>
      </c>
      <c r="M8" s="834">
        <f>SUMIFS(ProposedLoans!$F$6:$F$21,ProposedLoans!$D$6:$D$21,$C$2,ProposedLoans!$G$6:$G$21,"*Jun*")</f>
        <v>0</v>
      </c>
      <c r="O8" s="831" t="s">
        <v>9</v>
      </c>
      <c r="P8" s="834">
        <f>SUMIFS(ProposedLoans!$T$6:$T$21,ProposedLoans!$D$6:$D$21,$C$2,ProposedLoans!$Z$6:$Z$21,$C8,ProposedLoans!$M$6:$M$21,ProposedLoansWkst!I$2)</f>
        <v>0</v>
      </c>
      <c r="Q8" s="834">
        <f>SUMIFS(ProposedLoans!$T$6:$T$21,ProposedLoans!$D$6:$D$21,$C$2,ProposedLoans!$Z$6:$Z$21,"*Jun*",ProposedLoans!$M$6:$M$21,ProposedLoansWkst!Q$2)</f>
        <v>0</v>
      </c>
      <c r="R8" s="834">
        <f>SUMIFS(ProposedLoans!$T$6:$T$21,ProposedLoans!$D$6:$D$21,$C$2,ProposedLoans!$Z$6:$Z$21,"*Jun*",ProposedLoans!$M$6:$M$21,ProposedLoansWkst!R$2)</f>
        <v>0</v>
      </c>
      <c r="S8" s="834">
        <f>SUMIFS(ProposedLoans!$T$6:$T$21,ProposedLoans!$D$6:$D$21,$C$2,ProposedLoans!$Z$6:$Z$21,"*Jun*",ProposedLoans!$M$6:$M$21,ProposedLoansWkst!S$2)</f>
        <v>0</v>
      </c>
    </row>
    <row r="9" spans="2:19" x14ac:dyDescent="0.2">
      <c r="B9" s="835" t="s">
        <v>191</v>
      </c>
      <c r="C9" s="836" t="s">
        <v>10</v>
      </c>
      <c r="D9" s="837">
        <f>SUM(ProposedLoansWkst!$I9:$L9)</f>
        <v>0</v>
      </c>
      <c r="E9" s="838">
        <f>SUM(ProposedLoansWkst!$P9:$S9)</f>
        <v>0</v>
      </c>
      <c r="F9" s="838">
        <f>SUM(ProposedLoansWkst!$M9)</f>
        <v>0</v>
      </c>
      <c r="H9" s="835" t="s">
        <v>10</v>
      </c>
      <c r="I9" s="837">
        <f>SUMIFS(ProposedLoans!$S$6:$S$21,ProposedLoans!$D$6:$D$21,$C$2,ProposedLoans!$Z$6:$Z$21,$C9,ProposedLoans!$M$6:$M$21,ProposedLoansWkst!I$2)</f>
        <v>0</v>
      </c>
      <c r="J9" s="838">
        <f>SUMIFS(ProposedLoans!$S$6:$S$21,ProposedLoans!$D$6:$D$21,$C$2,ProposedLoans!$Z$6:$Z$21,"*Jul*",ProposedLoans!$M$6:$M$21,ProposedLoansWkst!J$2)</f>
        <v>0</v>
      </c>
      <c r="K9" s="838">
        <f>SUMIFS(ProposedLoans!$S$6:$S$21,ProposedLoans!$D$6:$D$21,$C$2,ProposedLoans!$Z$6:$Z$21,"*Jul*",ProposedLoans!$M$6:$M$21,ProposedLoansWkst!K$2)</f>
        <v>0</v>
      </c>
      <c r="L9" s="838">
        <f>SUMIFS(ProposedLoans!$S$6:$S$21,ProposedLoans!$D$6:$D$21,$C$2,ProposedLoans!$Z$6:$Z$21,"*Jul*",ProposedLoans!$M$6:$M$21,ProposedLoansWkst!L$2)</f>
        <v>0</v>
      </c>
      <c r="M9" s="838">
        <f>SUMIFS(ProposedLoans!$F$6:$F$21,ProposedLoans!$D$6:$D$21,$C$2,ProposedLoans!$G$6:$G$21,"*Jul*")</f>
        <v>0</v>
      </c>
      <c r="O9" s="835" t="s">
        <v>10</v>
      </c>
      <c r="P9" s="838">
        <f>SUMIFS(ProposedLoans!$T$6:$T$21,ProposedLoans!$D$6:$D$21,$C$2,ProposedLoans!$Z$6:$Z$21,$C9,ProposedLoans!$M$6:$M$21,ProposedLoansWkst!I$2)</f>
        <v>0</v>
      </c>
      <c r="Q9" s="838">
        <f>SUMIFS(ProposedLoans!$T$6:$T$21,ProposedLoans!$D$6:$D$21,$C$2,ProposedLoans!$Z$6:$Z$21,"*Jul*",ProposedLoans!$M$6:$M$21,ProposedLoansWkst!Q$2)</f>
        <v>0</v>
      </c>
      <c r="R9" s="838">
        <f>SUMIFS(ProposedLoans!$T$6:$T$21,ProposedLoans!$D$6:$D$21,$C$2,ProposedLoans!$Z$6:$Z$21,"*Jul*",ProposedLoans!$M$6:$M$21,ProposedLoansWkst!R$2)</f>
        <v>0</v>
      </c>
      <c r="S9" s="838">
        <f>SUMIFS(ProposedLoans!$T$6:$T$21,ProposedLoans!$D$6:$D$21,$C$2,ProposedLoans!$Z$6:$Z$21,"*Jul*",ProposedLoans!$M$6:$M$21,ProposedLoansWkst!S$2)</f>
        <v>0</v>
      </c>
    </row>
    <row r="10" spans="2:19" x14ac:dyDescent="0.2">
      <c r="B10" s="831" t="s">
        <v>192</v>
      </c>
      <c r="C10" s="839" t="s">
        <v>11</v>
      </c>
      <c r="D10" s="833">
        <f>SUM(ProposedLoansWkst!$I10:$L10)</f>
        <v>0</v>
      </c>
      <c r="E10" s="834">
        <f>SUM(ProposedLoansWkst!$P10:$S10)</f>
        <v>0</v>
      </c>
      <c r="F10" s="834">
        <f>SUM(ProposedLoansWkst!$M10)</f>
        <v>0</v>
      </c>
      <c r="H10" s="831" t="s">
        <v>11</v>
      </c>
      <c r="I10" s="833">
        <f>SUMIFS(ProposedLoans!$S$6:$S$21,ProposedLoans!$D$6:$D$21,$C$2,ProposedLoans!$Z$6:$Z$21,$C10,ProposedLoans!$M$6:$M$21,ProposedLoansWkst!I$2)</f>
        <v>0</v>
      </c>
      <c r="J10" s="834">
        <f>SUMIFS(ProposedLoans!$S$6:$S$21,ProposedLoans!$D$6:$D$21,$C$2,ProposedLoans!$Z$6:$Z$21,"*Aug*",ProposedLoans!$M$6:$M$21,ProposedLoansWkst!J$2)</f>
        <v>0</v>
      </c>
      <c r="K10" s="834">
        <f>SUMIFS(ProposedLoans!$S$6:$S$21,ProposedLoans!$D$6:$D$21,$C$2,ProposedLoans!$Z$6:$Z$21,"*Aug*",ProposedLoans!$M$6:$M$21,ProposedLoansWkst!K$2)</f>
        <v>0</v>
      </c>
      <c r="L10" s="834">
        <f>SUMIFS(ProposedLoans!$S$6:$S$21,ProposedLoans!$D$6:$D$21,$C$2,ProposedLoans!$Z$6:$Z$21,"*Aug*",ProposedLoans!$M$6:$M$21,ProposedLoansWkst!L$2)</f>
        <v>0</v>
      </c>
      <c r="M10" s="834">
        <f>SUMIFS(ProposedLoans!$F$6:$F$21,ProposedLoans!$D$6:$D$21,$C$2,ProposedLoans!$G$6:$G$21,"*Aug*")</f>
        <v>0</v>
      </c>
      <c r="O10" s="831" t="s">
        <v>11</v>
      </c>
      <c r="P10" s="834">
        <f>SUMIFS(ProposedLoans!$T$6:$T$21,ProposedLoans!$D$6:$D$21,$C$2,ProposedLoans!$Z$6:$Z$21,$C10,ProposedLoans!$M$6:$M$21,ProposedLoansWkst!I$2)</f>
        <v>0</v>
      </c>
      <c r="Q10" s="834">
        <f>SUMIFS(ProposedLoans!$T$6:$T$21,ProposedLoans!$D$6:$D$21,$C$2,ProposedLoans!$Z$6:$Z$21,"*Aug*",ProposedLoans!$M$6:$M$21,ProposedLoansWkst!Q$2)</f>
        <v>0</v>
      </c>
      <c r="R10" s="834">
        <f>SUMIFS(ProposedLoans!$T$6:$T$21,ProposedLoans!$D$6:$D$21,$C$2,ProposedLoans!$Z$6:$Z$21,"*Aug*",ProposedLoans!$M$6:$M$21,ProposedLoansWkst!R$2)</f>
        <v>0</v>
      </c>
      <c r="S10" s="834">
        <f>SUMIFS(ProposedLoans!$T$6:$T$21,ProposedLoans!$D$6:$D$21,$C$2,ProposedLoans!$Z$6:$Z$21,"*Aug*",ProposedLoans!$M$6:$M$21,ProposedLoansWkst!S$2)</f>
        <v>0</v>
      </c>
    </row>
    <row r="11" spans="2:19" x14ac:dyDescent="0.2">
      <c r="B11" s="835" t="s">
        <v>193</v>
      </c>
      <c r="C11" s="836" t="s">
        <v>12</v>
      </c>
      <c r="D11" s="837">
        <f>SUM(ProposedLoansWkst!$I11:$L11)</f>
        <v>0</v>
      </c>
      <c r="E11" s="838">
        <f>SUM(ProposedLoansWkst!$P11:$S11)</f>
        <v>0</v>
      </c>
      <c r="F11" s="838">
        <f>SUM(ProposedLoansWkst!$M11)</f>
        <v>0</v>
      </c>
      <c r="H11" s="835" t="s">
        <v>12</v>
      </c>
      <c r="I11" s="837">
        <f>SUMIFS(ProposedLoans!$S$6:$S$21,ProposedLoans!$D$6:$D$21,$C$2,ProposedLoans!$Z$6:$Z$21,$C11,ProposedLoans!$M$6:$M$21,ProposedLoansWkst!I$2)</f>
        <v>0</v>
      </c>
      <c r="J11" s="838">
        <f>SUMIFS(ProposedLoans!$S$6:$S$21,ProposedLoans!$D$6:$D$21,$C$2,ProposedLoans!$Z$6:$Z$21,"*Sep*",ProposedLoans!$M$6:$M$21,ProposedLoansWkst!J$2)</f>
        <v>0</v>
      </c>
      <c r="K11" s="838">
        <f>SUMIFS(ProposedLoans!$S$6:$S$21,ProposedLoans!$D$6:$D$21,$C$2,ProposedLoans!$Z$6:$Z$21,"*Sep*",ProposedLoans!$M$6:$M$21,ProposedLoansWkst!K$2)</f>
        <v>0</v>
      </c>
      <c r="L11" s="838">
        <f>SUMIFS(ProposedLoans!$S$6:$S$21,ProposedLoans!$D$6:$D$21,$C$2,ProposedLoans!$Z$6:$Z$21,"*Sep*",ProposedLoans!$M$6:$M$21,ProposedLoansWkst!L$2)</f>
        <v>0</v>
      </c>
      <c r="M11" s="838">
        <f>SUMIFS(ProposedLoans!$F$6:$F$21,ProposedLoans!$D$6:$D$21,$C$2,ProposedLoans!$G$6:$G$21,"*Sep*")</f>
        <v>0</v>
      </c>
      <c r="O11" s="835" t="s">
        <v>12</v>
      </c>
      <c r="P11" s="838">
        <f>SUMIFS(ProposedLoans!$T$6:$T$21,ProposedLoans!$D$6:$D$21,$C$2,ProposedLoans!$Z$6:$Z$21,$C11,ProposedLoans!$M$6:$M$21,ProposedLoansWkst!I$2)</f>
        <v>0</v>
      </c>
      <c r="Q11" s="838">
        <f>SUMIFS(ProposedLoans!$T$6:$T$21,ProposedLoans!$D$6:$D$21,$C$2,ProposedLoans!$Z$6:$Z$21,"*Sep*",ProposedLoans!$M$6:$M$21,ProposedLoansWkst!Q$2)</f>
        <v>0</v>
      </c>
      <c r="R11" s="838">
        <f>SUMIFS(ProposedLoans!$T$6:$T$21,ProposedLoans!$D$6:$D$21,$C$2,ProposedLoans!$Z$6:$Z$21,"*Sep*",ProposedLoans!$M$6:$M$21,ProposedLoansWkst!R$2)</f>
        <v>0</v>
      </c>
      <c r="S11" s="838">
        <f>SUMIFS(ProposedLoans!$T$6:$T$21,ProposedLoans!$D$6:$D$21,$C$2,ProposedLoans!$Z$6:$Z$21,"*Sep*",ProposedLoans!$M$6:$M$21,ProposedLoansWkst!S$2)</f>
        <v>0</v>
      </c>
    </row>
    <row r="12" spans="2:19" x14ac:dyDescent="0.2">
      <c r="B12" s="831" t="s">
        <v>194</v>
      </c>
      <c r="C12" s="839" t="s">
        <v>13</v>
      </c>
      <c r="D12" s="833">
        <f>SUM(ProposedLoansWkst!$I12:$L12)</f>
        <v>0</v>
      </c>
      <c r="E12" s="834">
        <f>SUM(ProposedLoansWkst!$P12:$S12)</f>
        <v>0</v>
      </c>
      <c r="F12" s="834">
        <f>SUM(ProposedLoansWkst!$M12)</f>
        <v>0</v>
      </c>
      <c r="H12" s="831" t="s">
        <v>13</v>
      </c>
      <c r="I12" s="833">
        <f>SUMIFS(ProposedLoans!$S$6:$S$21,ProposedLoans!$D$6:$D$21,$C$2,ProposedLoans!$Z$6:$Z$21,$C12,ProposedLoans!$M$6:$M$21,ProposedLoansWkst!I$2)</f>
        <v>0</v>
      </c>
      <c r="J12" s="834">
        <f>SUMIFS(ProposedLoans!$S$6:$S$21,ProposedLoans!$D$6:$D$21,$C$2,ProposedLoans!$Z$6:$Z$21,"*Oct*",ProposedLoans!$M$6:$M$21,ProposedLoansWkst!J$2)</f>
        <v>0</v>
      </c>
      <c r="K12" s="834">
        <f>SUMIFS(ProposedLoans!$S$6:$S$21,ProposedLoans!$D$6:$D$21,$C$2,ProposedLoans!$Z$6:$Z$21,"*Oct*",ProposedLoans!$M$6:$M$21,ProposedLoansWkst!K$2)</f>
        <v>0</v>
      </c>
      <c r="L12" s="834">
        <f>SUMIFS(ProposedLoans!$S$6:$S$21,ProposedLoans!$D$6:$D$21,$C$2,ProposedLoans!$Z$6:$Z$21,"*Oct*",ProposedLoans!$M$6:$M$21,ProposedLoansWkst!L$2)</f>
        <v>0</v>
      </c>
      <c r="M12" s="834">
        <f>SUMIFS(ProposedLoans!$F$6:$F$21,ProposedLoans!$D$6:$D$21,$C$2,ProposedLoans!$G$6:$G$21,"*Oct*")</f>
        <v>0</v>
      </c>
      <c r="O12" s="831" t="s">
        <v>13</v>
      </c>
      <c r="P12" s="834">
        <f>SUMIFS(ProposedLoans!$T$6:$T$21,ProposedLoans!$D$6:$D$21,$C$2,ProposedLoans!$Z$6:$Z$21,$C12,ProposedLoans!$M$6:$M$21,ProposedLoansWkst!I$2)</f>
        <v>0</v>
      </c>
      <c r="Q12" s="834">
        <f>SUMIFS(ProposedLoans!$T$6:$T$21,ProposedLoans!$D$6:$D$21,$C$2,ProposedLoans!$Z$6:$Z$21,"*Oct*",ProposedLoans!$M$6:$M$21,ProposedLoansWkst!Q$2)</f>
        <v>0</v>
      </c>
      <c r="R12" s="834">
        <f>SUMIFS(ProposedLoans!$T$6:$T$21,ProposedLoans!$D$6:$D$21,$C$2,ProposedLoans!$Z$6:$Z$21,"*Oct*",ProposedLoans!$M$6:$M$21,ProposedLoansWkst!R$2)</f>
        <v>0</v>
      </c>
      <c r="S12" s="834">
        <f>SUMIFS(ProposedLoans!$T$6:$T$21,ProposedLoans!$D$6:$D$21,$C$2,ProposedLoans!$Z$6:$Z$21,"*Oct*",ProposedLoans!$M$6:$M$21,ProposedLoansWkst!S$2)</f>
        <v>0</v>
      </c>
    </row>
    <row r="13" spans="2:19" x14ac:dyDescent="0.2">
      <c r="B13" s="835" t="s">
        <v>195</v>
      </c>
      <c r="C13" s="836" t="s">
        <v>14</v>
      </c>
      <c r="D13" s="837">
        <f>SUM(ProposedLoansWkst!$I13:$L13)</f>
        <v>0</v>
      </c>
      <c r="E13" s="838">
        <f>SUM(ProposedLoansWkst!$P13:$S13)</f>
        <v>0</v>
      </c>
      <c r="F13" s="838">
        <f>SUM(ProposedLoansWkst!$M13)</f>
        <v>0</v>
      </c>
      <c r="H13" s="835" t="s">
        <v>14</v>
      </c>
      <c r="I13" s="837">
        <f>SUMIFS(ProposedLoans!$S$6:$S$21,ProposedLoans!$D$6:$D$21,$C$2,ProposedLoans!$Z$6:$Z$21,$C13,ProposedLoans!$M$6:$M$21,ProposedLoansWkst!I$2)</f>
        <v>0</v>
      </c>
      <c r="J13" s="838">
        <f>SUMIFS(ProposedLoans!$S$6:$S$21,ProposedLoans!$D$6:$D$21,$C$2,ProposedLoans!$Z$6:$Z$21,"*Nov*",ProposedLoans!$M$6:$M$21,ProposedLoansWkst!J$2)</f>
        <v>0</v>
      </c>
      <c r="K13" s="838">
        <f>SUMIFS(ProposedLoans!$S$6:$S$21,ProposedLoans!$D$6:$D$21,$C$2,ProposedLoans!$Z$6:$Z$21,"*Nov*",ProposedLoans!$M$6:$M$21,ProposedLoansWkst!K$2)</f>
        <v>0</v>
      </c>
      <c r="L13" s="838">
        <f>SUMIFS(ProposedLoans!$S$6:$S$21,ProposedLoans!$D$6:$D$21,$C$2,ProposedLoans!$Z$6:$Z$21,"*Nov*",ProposedLoans!$M$6:$M$21,ProposedLoansWkst!L$2)</f>
        <v>0</v>
      </c>
      <c r="M13" s="838">
        <f>SUMIFS(ProposedLoans!$F$6:$F$21,ProposedLoans!$D$6:$D$21,$C$2,ProposedLoans!$G$6:$G$21,"*Nov*")</f>
        <v>0</v>
      </c>
      <c r="O13" s="835" t="s">
        <v>14</v>
      </c>
      <c r="P13" s="838">
        <f>SUMIFS(ProposedLoans!$T$6:$T$21,ProposedLoans!$D$6:$D$21,$C$2,ProposedLoans!$Z$6:$Z$21,$C13,ProposedLoans!$M$6:$M$21,ProposedLoansWkst!I$2)</f>
        <v>0</v>
      </c>
      <c r="Q13" s="838">
        <f>SUMIFS(ProposedLoans!$T$6:$T$21,ProposedLoans!$D$6:$D$21,$C$2,ProposedLoans!$Z$6:$Z$21,"*Nov*",ProposedLoans!$M$6:$M$21,ProposedLoansWkst!Q$2)</f>
        <v>0</v>
      </c>
      <c r="R13" s="838">
        <f>SUMIFS(ProposedLoans!$T$6:$T$21,ProposedLoans!$D$6:$D$21,$C$2,ProposedLoans!$Z$6:$Z$21,"*Nov*",ProposedLoans!$M$6:$M$21,ProposedLoansWkst!R$2)</f>
        <v>0</v>
      </c>
      <c r="S13" s="838">
        <f>SUMIFS(ProposedLoans!$T$6:$T$21,ProposedLoans!$D$6:$D$21,$C$2,ProposedLoans!$Z$6:$Z$21,"*Nov*",ProposedLoans!$M$6:$M$21,ProposedLoansWkst!S$2)</f>
        <v>0</v>
      </c>
    </row>
    <row r="14" spans="2:19" ht="13.5" thickBot="1" x14ac:dyDescent="0.25">
      <c r="B14" s="831" t="s">
        <v>196</v>
      </c>
      <c r="C14" s="839" t="s">
        <v>15</v>
      </c>
      <c r="D14" s="833">
        <f>SUM(ProposedLoansWkst!$I14:$L14)</f>
        <v>0</v>
      </c>
      <c r="E14" s="834">
        <f>SUM(ProposedLoansWkst!$P14:$S14)</f>
        <v>0</v>
      </c>
      <c r="F14" s="834">
        <f>SUM(ProposedLoansWkst!$M14)</f>
        <v>0</v>
      </c>
      <c r="H14" s="831" t="s">
        <v>15</v>
      </c>
      <c r="I14" s="833">
        <f>SUMIFS(ProposedLoans!$S$6:$S$21,ProposedLoans!$D$6:$D$21,$C$2,ProposedLoans!$Z$6:$Z$21,$C14,ProposedLoans!$M$6:$M$21,ProposedLoansWkst!I$2)</f>
        <v>0</v>
      </c>
      <c r="J14" s="834">
        <f>SUMIFS(ProposedLoans!$S$6:$S$21,ProposedLoans!$D$6:$D$21,$C$2,ProposedLoans!$Z$6:$Z$21,"*Dec*",ProposedLoans!$M$6:$M$21,ProposedLoansWkst!J$2)</f>
        <v>0</v>
      </c>
      <c r="K14" s="834">
        <f>SUMIFS(ProposedLoans!$S$6:$S$21,ProposedLoans!$D$6:$D$21,$C$2,ProposedLoans!$Z$6:$Z$21,"*Dec*",ProposedLoans!$M$6:$M$21,ProposedLoansWkst!K$2)</f>
        <v>0</v>
      </c>
      <c r="L14" s="834">
        <f>SUMIFS(ProposedLoans!$S$6:$S$21,ProposedLoans!$D$6:$D$21,$C$2,ProposedLoans!$Z$6:$Z$21,"*Dec*",ProposedLoans!$M$6:$M$21,ProposedLoansWkst!L$2)</f>
        <v>0</v>
      </c>
      <c r="M14" s="834">
        <f>SUMIFS(ProposedLoans!$F$6:$F$21,ProposedLoans!$D$6:$D$21,$C$2,ProposedLoans!$G$6:$G$21,"*Dec*")</f>
        <v>0</v>
      </c>
      <c r="O14" s="831" t="s">
        <v>15</v>
      </c>
      <c r="P14" s="834">
        <f>SUMIFS(ProposedLoans!$T$6:$T$21,ProposedLoans!$D$6:$D$21,$C$2,ProposedLoans!$Z$6:$Z$21,$C14,ProposedLoans!$M$6:$M$21,ProposedLoansWkst!I$2)</f>
        <v>0</v>
      </c>
      <c r="Q14" s="834">
        <f>SUMIFS(ProposedLoans!$T$6:$T$21,ProposedLoans!$D$6:$D$21,$C$2,ProposedLoans!$Z$6:$Z$21,"*Dec*",ProposedLoans!$M$6:$M$21,ProposedLoansWkst!Q$2)</f>
        <v>0</v>
      </c>
      <c r="R14" s="834">
        <f>SUMIFS(ProposedLoans!$T$6:$T$21,ProposedLoans!$D$6:$D$21,$C$2,ProposedLoans!$Z$6:$Z$21,"*Dec*",ProposedLoans!$M$6:$M$21,ProposedLoansWkst!R$2)</f>
        <v>0</v>
      </c>
      <c r="S14" s="834">
        <f>SUMIFS(ProposedLoans!$T$6:$T$21,ProposedLoans!$D$6:$D$21,$C$2,ProposedLoans!$Z$6:$Z$21,"*Dec*",ProposedLoans!$M$6:$M$21,ProposedLoansWkst!S$2)</f>
        <v>0</v>
      </c>
    </row>
    <row r="15" spans="2:19" ht="13.5" thickTop="1" x14ac:dyDescent="0.2">
      <c r="B15" s="840"/>
      <c r="C15" s="841"/>
      <c r="D15" s="842">
        <f>SUM(ProposedLoansWkst!$D$3:$D$14)</f>
        <v>0</v>
      </c>
      <c r="E15" s="824">
        <f>SUM(ProposedLoansWkst!$E$3:$E$14)</f>
        <v>0</v>
      </c>
      <c r="F15" s="823">
        <f>SUM(ProposedLoansWkst!$F$3:$F$14)</f>
        <v>0</v>
      </c>
      <c r="H15" s="845"/>
      <c r="I15" s="823">
        <f>SUM(ProposedLoansWkst!$I$3:$I$14)</f>
        <v>0</v>
      </c>
      <c r="J15" s="823">
        <f>SUM(ProposedLoansWkst!$J$3:$J$14)</f>
        <v>0</v>
      </c>
      <c r="K15" s="823">
        <f>SUM(ProposedLoansWkst!$K$3:$K$14)</f>
        <v>0</v>
      </c>
      <c r="L15" s="823">
        <f>SUM(ProposedLoansWkst!$L$3:$L$14)</f>
        <v>0</v>
      </c>
      <c r="M15" s="823">
        <f>SUM(ProposedLoansWkst!$M$3:$M$14)</f>
        <v>0</v>
      </c>
      <c r="O15" s="845"/>
      <c r="P15" s="823">
        <f>SUM(ProposedLoansWkst!$P$3:$P$14)</f>
        <v>0</v>
      </c>
      <c r="Q15" s="823">
        <f>SUM(ProposedLoansWkst!$Q$3:$Q$14)</f>
        <v>0</v>
      </c>
      <c r="R15" s="823">
        <f>SUM(ProposedLoansWkst!$R$3:$R$14)</f>
        <v>0</v>
      </c>
      <c r="S15" s="823">
        <f>SUM(ProposedLoansWkst!$S$3:$S$14)</f>
        <v>0</v>
      </c>
    </row>
    <row r="18" spans="2:19" ht="13.5" thickBot="1" x14ac:dyDescent="0.25">
      <c r="B18" s="825" t="s">
        <v>126</v>
      </c>
      <c r="C18" s="826" t="s">
        <v>177</v>
      </c>
      <c r="D18" s="826" t="s">
        <v>179</v>
      </c>
      <c r="E18" s="826" t="s">
        <v>180</v>
      </c>
      <c r="F18" s="826" t="s">
        <v>213</v>
      </c>
      <c r="H18" s="825" t="s">
        <v>200</v>
      </c>
      <c r="I18" s="826" t="s">
        <v>105</v>
      </c>
      <c r="J18" s="826" t="s">
        <v>103</v>
      </c>
      <c r="K18" s="826" t="s">
        <v>101</v>
      </c>
      <c r="L18" s="826" t="s">
        <v>100</v>
      </c>
      <c r="M18" s="826" t="s">
        <v>213</v>
      </c>
      <c r="N18" s="57"/>
      <c r="O18" s="825" t="s">
        <v>200</v>
      </c>
      <c r="P18" s="846" t="s">
        <v>105</v>
      </c>
      <c r="Q18" s="846" t="s">
        <v>103</v>
      </c>
      <c r="R18" s="846" t="s">
        <v>101</v>
      </c>
      <c r="S18" s="846" t="s">
        <v>100</v>
      </c>
    </row>
    <row r="19" spans="2:19" ht="13.5" thickTop="1" x14ac:dyDescent="0.2">
      <c r="B19" s="827" t="s">
        <v>186</v>
      </c>
      <c r="C19" s="828" t="s">
        <v>5</v>
      </c>
      <c r="D19" s="830">
        <f>SUM(ProposedLoansWkst!$I19:$L19)</f>
        <v>0</v>
      </c>
      <c r="E19" s="830">
        <f>SUM(ProposedLoansWkst!$P19:$S19)</f>
        <v>0</v>
      </c>
      <c r="F19" s="830">
        <f>ProposedLoansWkst!$M19</f>
        <v>0</v>
      </c>
      <c r="H19" s="843" t="s">
        <v>5</v>
      </c>
      <c r="I19" s="830">
        <f>SUMIFS(ProposedLoans!$S$6:$S$21,ProposedLoans!$D$6:$D$21,$C$18,ProposedLoans!$Z$6:$Z$21,$C19,ProposedLoans!$M$6:$M$21,ProposedLoansWkst!I$2)</f>
        <v>0</v>
      </c>
      <c r="J19" s="830">
        <f>SUMIFS(ProposedLoans!$S$6:$S$21,ProposedLoans!$D$6:$D$21,$C$18,ProposedLoans!$Z$6:$Z$21,"*Jan*",ProposedLoans!$M$6:$M$21,ProposedLoansWkst!J$2)</f>
        <v>0</v>
      </c>
      <c r="K19" s="830">
        <f>SUMIFS(ProposedLoans!$S$6:$S$21,ProposedLoans!$D$6:$D$21,$C$18,ProposedLoans!$Z$6:$Z$21,"*Jan*",ProposedLoans!$M$6:$M$21,ProposedLoansWkst!K$2)</f>
        <v>0</v>
      </c>
      <c r="L19" s="830">
        <f>SUMIFS(ProposedLoans!$S$6:$S$21,ProposedLoans!$D$6:$D$21,$C$18,ProposedLoans!$Z$6:$Z$21,"*Jan*",ProposedLoans!$M$6:$M$21,ProposedLoansWkst!L$2)</f>
        <v>0</v>
      </c>
      <c r="M19" s="830">
        <f>SUMIFS(ProposedLoans!$F$6:$F$21,ProposedLoans!$D$6:$D$21,$C$18,ProposedLoans!$G$6:$G$21,"*Jan*")</f>
        <v>0</v>
      </c>
      <c r="O19" s="843" t="s">
        <v>5</v>
      </c>
      <c r="P19" s="830">
        <f>SUMIFS(ProposedLoans!$T$6:$T$21,ProposedLoans!$D$6:$D$21,$C$18,ProposedLoans!$Z$6:$Z$21,$C19,ProposedLoans!$M$6:$M$21,ProposedLoansWkst!I$2)</f>
        <v>0</v>
      </c>
      <c r="Q19" s="830">
        <f>SUMIFS(ProposedLoans!$T$6:$T$21,ProposedLoans!$D$6:$D$21,$C$18,ProposedLoans!$Z$6:$Z$21,"*Jan*",ProposedLoans!$M$6:$M$21,ProposedLoansWkst!Q$2)</f>
        <v>0</v>
      </c>
      <c r="R19" s="830">
        <f>SUMIFS(ProposedLoans!$T$6:$T$21,ProposedLoans!$D$6:$D$21,$C$18,ProposedLoans!$Z$6:$Z$21,"*Jan*",ProposedLoans!$M$6:$M$21,ProposedLoansWkst!R$2)</f>
        <v>0</v>
      </c>
      <c r="S19" s="830">
        <f>SUMIFS(ProposedLoans!$T$6:$T$21,ProposedLoans!$D$6:$D$21,$C$18,ProposedLoans!$Z$6:$Z$21,"*Jan*",ProposedLoans!$M$6:$M$21,ProposedLoansWkst!S$2)</f>
        <v>0</v>
      </c>
    </row>
    <row r="20" spans="2:19" x14ac:dyDescent="0.2">
      <c r="B20" s="831" t="s">
        <v>187</v>
      </c>
      <c r="C20" s="832" t="s">
        <v>6</v>
      </c>
      <c r="D20" s="834">
        <f>SUM(ProposedLoansWkst!$I20:$L20)</f>
        <v>0</v>
      </c>
      <c r="E20" s="834">
        <f>SUM(ProposedLoansWkst!$P20:$S20)</f>
        <v>0</v>
      </c>
      <c r="F20" s="834">
        <f>ProposedLoansWkst!$M20</f>
        <v>0</v>
      </c>
      <c r="H20" s="844" t="s">
        <v>6</v>
      </c>
      <c r="I20" s="834">
        <f>SUMIFS(ProposedLoans!$S$6:$S$21,ProposedLoans!$D$6:$D$21,$C$18,ProposedLoans!$Z$6:$Z$21,$C20,ProposedLoans!$M$6:$M$21,ProposedLoansWkst!I$2)</f>
        <v>0</v>
      </c>
      <c r="J20" s="834">
        <f>SUMIFS(ProposedLoans!$S$6:$S$21,ProposedLoans!$D$6:$D$21,$C$18,ProposedLoans!$Z$6:$Z$21,"*Feb*",ProposedLoans!$M$6:$M$21,ProposedLoansWkst!J$2)</f>
        <v>0</v>
      </c>
      <c r="K20" s="834">
        <f>SUMIFS(ProposedLoans!$S$6:$S$21,ProposedLoans!$D$6:$D$21,$C$18,ProposedLoans!$Z$6:$Z$21,"*Feb*",ProposedLoans!$M$6:$M$21,ProposedLoansWkst!K$2)</f>
        <v>0</v>
      </c>
      <c r="L20" s="834">
        <f>SUMIFS(ProposedLoans!$S$6:$S$21,ProposedLoans!$D$6:$D$21,$C$18,ProposedLoans!$Z$6:$Z$21,"*Feb*",ProposedLoans!$M$6:$M$21,ProposedLoansWkst!L$2)</f>
        <v>0</v>
      </c>
      <c r="M20" s="834">
        <f>SUMIFS(ProposedLoans!$F$6:$F$21,ProposedLoans!$D$6:$D$21,$C$18,ProposedLoans!$G$6:$G$21,"*Feb*")</f>
        <v>0</v>
      </c>
      <c r="O20" s="844" t="s">
        <v>6</v>
      </c>
      <c r="P20" s="834">
        <f>SUMIFS(ProposedLoans!$T$6:$T$21,ProposedLoans!$D$6:$D$21,$C$18,ProposedLoans!$Z$6:$Z$21,$C20,ProposedLoans!$M$6:$M$21,ProposedLoansWkst!I$2)</f>
        <v>0</v>
      </c>
      <c r="Q20" s="834">
        <f>SUMIFS(ProposedLoans!$T$6:$T$21,ProposedLoans!$D$6:$D$21,$C$18,ProposedLoans!$Z$6:$Z$21,"*Feb*",ProposedLoans!$M$6:$M$21,ProposedLoansWkst!Q$2)</f>
        <v>0</v>
      </c>
      <c r="R20" s="834">
        <f>SUMIFS(ProposedLoans!$T$6:$T$21,ProposedLoans!$D$6:$D$21,$C$18,ProposedLoans!$Z$6:$Z$21,"*Feb*",ProposedLoans!$M$6:$M$21,ProposedLoansWkst!R$2)</f>
        <v>0</v>
      </c>
      <c r="S20" s="834">
        <f>SUMIFS(ProposedLoans!$T$6:$T$21,ProposedLoans!$D$6:$D$21,$C$18,ProposedLoans!$Z$6:$Z$21,"*Feb*",ProposedLoans!$M$6:$M$21,ProposedLoansWkst!S$2)</f>
        <v>0</v>
      </c>
    </row>
    <row r="21" spans="2:19" x14ac:dyDescent="0.2">
      <c r="B21" s="835" t="s">
        <v>188</v>
      </c>
      <c r="C21" s="836" t="s">
        <v>7</v>
      </c>
      <c r="D21" s="838">
        <f>SUM(ProposedLoansWkst!$I21:$L21)</f>
        <v>0</v>
      </c>
      <c r="E21" s="838">
        <f>SUM(ProposedLoansWkst!$P21:$S21)</f>
        <v>0</v>
      </c>
      <c r="F21" s="838">
        <f>ProposedLoansWkst!$M21</f>
        <v>0</v>
      </c>
      <c r="H21" s="835" t="s">
        <v>7</v>
      </c>
      <c r="I21" s="838">
        <f>SUMIFS(ProposedLoans!$S$6:$S$21,ProposedLoans!$D$6:$D$21,$C$18,ProposedLoans!$Z$6:$Z$21,$C21,ProposedLoans!$M$6:$M$21,ProposedLoansWkst!I$2)</f>
        <v>0</v>
      </c>
      <c r="J21" s="838">
        <f>SUMIFS(ProposedLoans!$S$6:$S$21,ProposedLoans!$D$6:$D$21,$C$18,ProposedLoans!$Z$6:$Z$21,"*Mar*",ProposedLoans!$M$6:$M$21,ProposedLoansWkst!J$2)</f>
        <v>0</v>
      </c>
      <c r="K21" s="838">
        <f>SUMIFS(ProposedLoans!$S$6:$S$21,ProposedLoans!$D$6:$D$21,$C$18,ProposedLoans!$Z$6:$Z$21,"*Mar*",ProposedLoans!$M$6:$M$21,ProposedLoansWkst!K$2)</f>
        <v>0</v>
      </c>
      <c r="L21" s="838">
        <f>SUMIFS(ProposedLoans!$S$6:$S$21,ProposedLoans!$D$6:$D$21,$C$18,ProposedLoans!$Z$6:$Z$21,"*Mar*",ProposedLoans!$M$6:$M$21,ProposedLoansWkst!L$2)</f>
        <v>0</v>
      </c>
      <c r="M21" s="838">
        <f>SUMIFS(ProposedLoans!$F$6:$F$21,ProposedLoans!$D$6:$D$21,$C$18,ProposedLoans!$G$6:$G$21,"*Mar*")</f>
        <v>0</v>
      </c>
      <c r="O21" s="835" t="s">
        <v>7</v>
      </c>
      <c r="P21" s="838">
        <f>SUMIFS(ProposedLoans!$T$6:$T$21,ProposedLoans!$D$6:$D$21,$C$18,ProposedLoans!$Z$6:$Z$21,$C21,ProposedLoans!$M$6:$M$21,ProposedLoansWkst!I$2)</f>
        <v>0</v>
      </c>
      <c r="Q21" s="838">
        <f>SUMIFS(ProposedLoans!$T$6:$T$21,ProposedLoans!$D$6:$D$21,$C$18,ProposedLoans!$Z$6:$Z$21,"*Mar*",ProposedLoans!$M$6:$M$21,ProposedLoansWkst!Q$2)</f>
        <v>0</v>
      </c>
      <c r="R21" s="838">
        <f>SUMIFS(ProposedLoans!$T$6:$T$21,ProposedLoans!$D$6:$D$21,$C$18,ProposedLoans!$Z$6:$Z$21,"*Mar*",ProposedLoans!$M$6:$M$21,ProposedLoansWkst!R$2)</f>
        <v>0</v>
      </c>
      <c r="S21" s="838">
        <f>SUMIFS(ProposedLoans!$T$6:$T$21,ProposedLoans!$D$6:$D$21,$C$18,ProposedLoans!$Z$6:$Z$21,"*Mar*",ProposedLoans!$M$6:$M$21,ProposedLoansWkst!S$2)</f>
        <v>0</v>
      </c>
    </row>
    <row r="22" spans="2:19" x14ac:dyDescent="0.2">
      <c r="B22" s="831" t="s">
        <v>189</v>
      </c>
      <c r="C22" s="839" t="s">
        <v>8</v>
      </c>
      <c r="D22" s="834">
        <f>SUM(ProposedLoansWkst!$I22:$L22)</f>
        <v>0</v>
      </c>
      <c r="E22" s="834">
        <f>SUM(ProposedLoansWkst!$P22:$S22)</f>
        <v>0</v>
      </c>
      <c r="F22" s="834">
        <f>ProposedLoansWkst!$M22</f>
        <v>0</v>
      </c>
      <c r="H22" s="831" t="s">
        <v>8</v>
      </c>
      <c r="I22" s="834">
        <f>SUMIFS(ProposedLoans!$S$6:$S$21,ProposedLoans!$D$6:$D$21,$C$18,ProposedLoans!$Z$6:$Z$21,$C22,ProposedLoans!$M$6:$M$21,ProposedLoansWkst!I$2)</f>
        <v>0</v>
      </c>
      <c r="J22" s="834">
        <f>SUMIFS(ProposedLoans!$S$6:$S$21,ProposedLoans!$D$6:$D$21,$C$18,ProposedLoans!$Z$6:$Z$21,"*Apr*",ProposedLoans!$M$6:$M$21,ProposedLoansWkst!J$2)</f>
        <v>0</v>
      </c>
      <c r="K22" s="834">
        <f>SUMIFS(ProposedLoans!$S$6:$S$21,ProposedLoans!$D$6:$D$21,$C$18,ProposedLoans!$Z$6:$Z$21,"*Apr*",ProposedLoans!$M$6:$M$21,ProposedLoansWkst!K$2)</f>
        <v>0</v>
      </c>
      <c r="L22" s="834">
        <f>SUMIFS(ProposedLoans!$S$6:$S$21,ProposedLoans!$D$6:$D$21,$C$18,ProposedLoans!$Z$6:$Z$21,"*Apr*",ProposedLoans!$M$6:$M$21,ProposedLoansWkst!L$2)</f>
        <v>0</v>
      </c>
      <c r="M22" s="834">
        <f>SUMIFS(ProposedLoans!$F$6:$F$21,ProposedLoans!$D$6:$D$21,$C$18,ProposedLoans!$G$6:$G$21,"*Apr*")</f>
        <v>0</v>
      </c>
      <c r="O22" s="831" t="s">
        <v>8</v>
      </c>
      <c r="P22" s="834">
        <f>SUMIFS(ProposedLoans!$T$6:$T$21,ProposedLoans!$D$6:$D$21,$C$18,ProposedLoans!$Z$6:$Z$21,$C22,ProposedLoans!$M$6:$M$21,ProposedLoansWkst!I$2)</f>
        <v>0</v>
      </c>
      <c r="Q22" s="834">
        <f>SUMIFS(ProposedLoans!$T$6:$T$21,ProposedLoans!$D$6:$D$21,$C$18,ProposedLoans!$Z$6:$Z$21,"*Apr*",ProposedLoans!$M$6:$M$21,ProposedLoansWkst!Q$2)</f>
        <v>0</v>
      </c>
      <c r="R22" s="834">
        <f>SUMIFS(ProposedLoans!$T$6:$T$21,ProposedLoans!$D$6:$D$21,$C$18,ProposedLoans!$Z$6:$Z$21,"*Apr*",ProposedLoans!$M$6:$M$21,ProposedLoansWkst!R$2)</f>
        <v>0</v>
      </c>
      <c r="S22" s="834">
        <f>SUMIFS(ProposedLoans!$T$6:$T$21,ProposedLoans!$D$6:$D$21,$C$18,ProposedLoans!$Z$6:$Z$21,"*Apr*",ProposedLoans!$M$6:$M$21,ProposedLoansWkst!S$2)</f>
        <v>0</v>
      </c>
    </row>
    <row r="23" spans="2:19" x14ac:dyDescent="0.2">
      <c r="B23" s="835" t="s">
        <v>4</v>
      </c>
      <c r="C23" s="836" t="s">
        <v>4</v>
      </c>
      <c r="D23" s="838">
        <f>SUM(ProposedLoansWkst!$I23:$L23)</f>
        <v>0</v>
      </c>
      <c r="E23" s="838">
        <f>SUM(ProposedLoansWkst!$P23:$S23)</f>
        <v>0</v>
      </c>
      <c r="F23" s="838">
        <f>ProposedLoansWkst!$M23</f>
        <v>0</v>
      </c>
      <c r="H23" s="835" t="s">
        <v>4</v>
      </c>
      <c r="I23" s="838">
        <f>SUMIFS(ProposedLoans!$S$6:$S$21,ProposedLoans!$D$6:$D$21,$C$18,ProposedLoans!$Z$6:$Z$21,$C23,ProposedLoans!$M$6:$M$21,ProposedLoansWkst!I$2)</f>
        <v>0</v>
      </c>
      <c r="J23" s="838">
        <f>SUMIFS(ProposedLoans!$S$6:$S$21,ProposedLoans!$D$6:$D$21,$C$18,ProposedLoans!$Z$6:$Z$21,"*May*",ProposedLoans!$M$6:$M$21,ProposedLoansWkst!J$2)</f>
        <v>0</v>
      </c>
      <c r="K23" s="838">
        <f>SUMIFS(ProposedLoans!$S$6:$S$21,ProposedLoans!$D$6:$D$21,$C$18,ProposedLoans!$Z$6:$Z$21,"*May*",ProposedLoans!$M$6:$M$21,ProposedLoansWkst!K$2)</f>
        <v>0</v>
      </c>
      <c r="L23" s="838">
        <f>SUMIFS(ProposedLoans!$S$6:$S$21,ProposedLoans!$D$6:$D$21,$C$18,ProposedLoans!$Z$6:$Z$21,"*May*",ProposedLoans!$M$6:$M$21,ProposedLoansWkst!L$2)</f>
        <v>0</v>
      </c>
      <c r="M23" s="838">
        <f>SUMIFS(ProposedLoans!$F$6:$F$21,ProposedLoans!$D$6:$D$21,$C$18,ProposedLoans!$G$6:$G$21,"*May*")</f>
        <v>0</v>
      </c>
      <c r="O23" s="835" t="s">
        <v>4</v>
      </c>
      <c r="P23" s="838">
        <f>SUMIFS(ProposedLoans!$T$6:$T$21,ProposedLoans!$D$6:$D$21,$C$18,ProposedLoans!$Z$6:$Z$21,$C23,ProposedLoans!$M$6:$M$21,ProposedLoansWkst!I$2)</f>
        <v>0</v>
      </c>
      <c r="Q23" s="838">
        <f>SUMIFS(ProposedLoans!$T$6:$T$21,ProposedLoans!$D$6:$D$21,$C$18,ProposedLoans!$Z$6:$Z$21,"*May*",ProposedLoans!$M$6:$M$21,ProposedLoansWkst!Q$2)</f>
        <v>0</v>
      </c>
      <c r="R23" s="838">
        <f>SUMIFS(ProposedLoans!$T$6:$T$21,ProposedLoans!$D$6:$D$21,$C$18,ProposedLoans!$Z$6:$Z$21,"*May*",ProposedLoans!$M$6:$M$21,ProposedLoansWkst!R$2)</f>
        <v>0</v>
      </c>
      <c r="S23" s="838">
        <f>SUMIFS(ProposedLoans!$T$6:$T$21,ProposedLoans!$D$6:$D$21,$C$18,ProposedLoans!$Z$6:$Z$21,"*May*",ProposedLoans!$M$6:$M$21,ProposedLoansWkst!S$2)</f>
        <v>0</v>
      </c>
    </row>
    <row r="24" spans="2:19" x14ac:dyDescent="0.2">
      <c r="B24" s="831" t="s">
        <v>190</v>
      </c>
      <c r="C24" s="839" t="s">
        <v>9</v>
      </c>
      <c r="D24" s="834">
        <f>SUM(ProposedLoansWkst!$I24:$L24)</f>
        <v>0</v>
      </c>
      <c r="E24" s="834">
        <f>SUM(ProposedLoansWkst!$P24:$S24)</f>
        <v>0</v>
      </c>
      <c r="F24" s="834">
        <f>ProposedLoansWkst!$M24</f>
        <v>0</v>
      </c>
      <c r="H24" s="831" t="s">
        <v>9</v>
      </c>
      <c r="I24" s="834">
        <f>SUMIFS(ProposedLoans!$S$6:$S$21,ProposedLoans!$D$6:$D$21,$C$18,ProposedLoans!$Z$6:$Z$21,$C24,ProposedLoans!$M$6:$M$21,ProposedLoansWkst!I$2)</f>
        <v>0</v>
      </c>
      <c r="J24" s="834">
        <f>SUMIFS(ProposedLoans!$S$6:$S$21,ProposedLoans!$D$6:$D$21,$C$18,ProposedLoans!$Z$6:$Z$21,"*Jun*",ProposedLoans!$M$6:$M$21,ProposedLoansWkst!J$2)</f>
        <v>0</v>
      </c>
      <c r="K24" s="834">
        <f>SUMIFS(ProposedLoans!$S$6:$S$21,ProposedLoans!$D$6:$D$21,$C$18,ProposedLoans!$Z$6:$Z$21,"*Jun*",ProposedLoans!$M$6:$M$21,ProposedLoansWkst!K$2)</f>
        <v>0</v>
      </c>
      <c r="L24" s="834">
        <f>SUMIFS(ProposedLoans!$S$6:$S$21,ProposedLoans!$D$6:$D$21,$C$18,ProposedLoans!$Z$6:$Z$21,"*Jun*",ProposedLoans!$M$6:$M$21,ProposedLoansWkst!L$2)</f>
        <v>0</v>
      </c>
      <c r="M24" s="834">
        <f>SUMIFS(ProposedLoans!$F$6:$F$21,ProposedLoans!$D$6:$D$21,$C$18,ProposedLoans!$G$6:$G$21,"*Jun*")</f>
        <v>0</v>
      </c>
      <c r="O24" s="831" t="s">
        <v>9</v>
      </c>
      <c r="P24" s="834">
        <f>SUMIFS(ProposedLoans!$T$6:$T$21,ProposedLoans!$D$6:$D$21,$C$18,ProposedLoans!$Z$6:$Z$21,$C24,ProposedLoans!$M$6:$M$21,ProposedLoansWkst!I$2)</f>
        <v>0</v>
      </c>
      <c r="Q24" s="834">
        <f>SUMIFS(ProposedLoans!$T$6:$T$21,ProposedLoans!$D$6:$D$21,$C$18,ProposedLoans!$Z$6:$Z$21,"*Jun*",ProposedLoans!$M$6:$M$21,ProposedLoansWkst!Q$2)</f>
        <v>0</v>
      </c>
      <c r="R24" s="834">
        <f>SUMIFS(ProposedLoans!$T$6:$T$21,ProposedLoans!$D$6:$D$21,$C$18,ProposedLoans!$Z$6:$Z$21,"*Jun*",ProposedLoans!$M$6:$M$21,ProposedLoansWkst!R$2)</f>
        <v>0</v>
      </c>
      <c r="S24" s="834">
        <f>SUMIFS(ProposedLoans!$T$6:$T$21,ProposedLoans!$D$6:$D$21,$C$18,ProposedLoans!$Z$6:$Z$21,"*Jun*",ProposedLoans!$M$6:$M$21,ProposedLoansWkst!S$2)</f>
        <v>0</v>
      </c>
    </row>
    <row r="25" spans="2:19" x14ac:dyDescent="0.2">
      <c r="B25" s="835" t="s">
        <v>191</v>
      </c>
      <c r="C25" s="836" t="s">
        <v>10</v>
      </c>
      <c r="D25" s="838">
        <f>SUM(ProposedLoansWkst!$I25:$L25)</f>
        <v>0</v>
      </c>
      <c r="E25" s="838">
        <f>SUM(ProposedLoansWkst!$P25:$S25)</f>
        <v>0</v>
      </c>
      <c r="F25" s="838">
        <f>ProposedLoansWkst!$M25</f>
        <v>0</v>
      </c>
      <c r="H25" s="835" t="s">
        <v>10</v>
      </c>
      <c r="I25" s="838">
        <f>SUMIFS(ProposedLoans!$S$6:$S$21,ProposedLoans!$D$6:$D$21,$C$18,ProposedLoans!$Z$6:$Z$21,$C25,ProposedLoans!$M$6:$M$21,ProposedLoansWkst!I$2)</f>
        <v>0</v>
      </c>
      <c r="J25" s="838">
        <f>SUMIFS(ProposedLoans!$S$6:$S$21,ProposedLoans!$D$6:$D$21,$C$18,ProposedLoans!$Z$6:$Z$21,"*Jul*",ProposedLoans!$M$6:$M$21,ProposedLoansWkst!J$2)</f>
        <v>0</v>
      </c>
      <c r="K25" s="838">
        <f>SUMIFS(ProposedLoans!$S$6:$S$21,ProposedLoans!$D$6:$D$21,$C$18,ProposedLoans!$Z$6:$Z$21,"*Jul*",ProposedLoans!$M$6:$M$21,ProposedLoansWkst!K$2)</f>
        <v>0</v>
      </c>
      <c r="L25" s="838">
        <f>SUMIFS(ProposedLoans!$S$6:$S$21,ProposedLoans!$D$6:$D$21,$C$18,ProposedLoans!$Z$6:$Z$21,"*Jul*",ProposedLoans!$M$6:$M$21,ProposedLoansWkst!L$2)</f>
        <v>0</v>
      </c>
      <c r="M25" s="838">
        <f>SUMIFS(ProposedLoans!$F$6:$F$21,ProposedLoans!$D$6:$D$21,$C$18,ProposedLoans!$G$6:$G$21,"*Jul*")</f>
        <v>0</v>
      </c>
      <c r="O25" s="835" t="s">
        <v>10</v>
      </c>
      <c r="P25" s="838">
        <f>SUMIFS(ProposedLoans!$T$6:$T$21,ProposedLoans!$D$6:$D$21,$C$18,ProposedLoans!$Z$6:$Z$21,$C25,ProposedLoans!$M$6:$M$21,ProposedLoansWkst!I$2)</f>
        <v>0</v>
      </c>
      <c r="Q25" s="838">
        <f>SUMIFS(ProposedLoans!$T$6:$T$21,ProposedLoans!$D$6:$D$21,$C$18,ProposedLoans!$Z$6:$Z$21,"*Jul*",ProposedLoans!$M$6:$M$21,ProposedLoansWkst!Q$2)</f>
        <v>0</v>
      </c>
      <c r="R25" s="838">
        <f>SUMIFS(ProposedLoans!$T$6:$T$21,ProposedLoans!$D$6:$D$21,$C$18,ProposedLoans!$Z$6:$Z$21,"*Jul*",ProposedLoans!$M$6:$M$21,ProposedLoansWkst!R$2)</f>
        <v>0</v>
      </c>
      <c r="S25" s="838">
        <f>SUMIFS(ProposedLoans!$T$6:$T$21,ProposedLoans!$D$6:$D$21,$C$18,ProposedLoans!$Z$6:$Z$21,"*Jul*",ProposedLoans!$M$6:$M$21,ProposedLoansWkst!S$2)</f>
        <v>0</v>
      </c>
    </row>
    <row r="26" spans="2:19" x14ac:dyDescent="0.2">
      <c r="B26" s="831" t="s">
        <v>192</v>
      </c>
      <c r="C26" s="839" t="s">
        <v>11</v>
      </c>
      <c r="D26" s="834">
        <f>SUM(ProposedLoansWkst!$I26:$L26)</f>
        <v>0</v>
      </c>
      <c r="E26" s="834">
        <f>SUM(ProposedLoansWkst!$P26:$S26)</f>
        <v>0</v>
      </c>
      <c r="F26" s="834">
        <f>ProposedLoansWkst!$M26</f>
        <v>0</v>
      </c>
      <c r="H26" s="831" t="s">
        <v>11</v>
      </c>
      <c r="I26" s="834">
        <f>SUMIFS(ProposedLoans!$S$6:$S$21,ProposedLoans!$D$6:$D$21,$C$18,ProposedLoans!$Z$6:$Z$21,$C26,ProposedLoans!$M$6:$M$21,ProposedLoansWkst!I$2)</f>
        <v>0</v>
      </c>
      <c r="J26" s="834">
        <f>SUMIFS(ProposedLoans!$S$6:$S$21,ProposedLoans!$D$6:$D$21,$C$18,ProposedLoans!$Z$6:$Z$21,"*Aug*",ProposedLoans!$M$6:$M$21,ProposedLoansWkst!J$2)</f>
        <v>0</v>
      </c>
      <c r="K26" s="834">
        <f>SUMIFS(ProposedLoans!$S$6:$S$21,ProposedLoans!$D$6:$D$21,$C$18,ProposedLoans!$Z$6:$Z$21,"*Aug*",ProposedLoans!$M$6:$M$21,ProposedLoansWkst!K$2)</f>
        <v>0</v>
      </c>
      <c r="L26" s="834">
        <f>SUMIFS(ProposedLoans!$S$6:$S$21,ProposedLoans!$D$6:$D$21,$C$18,ProposedLoans!$Z$6:$Z$21,"*Aug*",ProposedLoans!$M$6:$M$21,ProposedLoansWkst!L$2)</f>
        <v>0</v>
      </c>
      <c r="M26" s="834">
        <f>SUMIFS(ProposedLoans!$F$6:$F$21,ProposedLoans!$D$6:$D$21,$C$18,ProposedLoans!$G$6:$G$21,"*Aug*")</f>
        <v>0</v>
      </c>
      <c r="O26" s="831" t="s">
        <v>11</v>
      </c>
      <c r="P26" s="834">
        <f>SUMIFS(ProposedLoans!$T$6:$T$21,ProposedLoans!$D$6:$D$21,$C$18,ProposedLoans!$Z$6:$Z$21,$C26,ProposedLoans!$M$6:$M$21,ProposedLoansWkst!I$2)</f>
        <v>0</v>
      </c>
      <c r="Q26" s="834">
        <f>SUMIFS(ProposedLoans!$T$6:$T$21,ProposedLoans!$D$6:$D$21,$C$18,ProposedLoans!$Z$6:$Z$21,"*Aug*",ProposedLoans!$M$6:$M$21,ProposedLoansWkst!Q$2)</f>
        <v>0</v>
      </c>
      <c r="R26" s="834">
        <f>SUMIFS(ProposedLoans!$T$6:$T$21,ProposedLoans!$D$6:$D$21,$C$18,ProposedLoans!$Z$6:$Z$21,"*Aug*",ProposedLoans!$M$6:$M$21,ProposedLoansWkst!R$2)</f>
        <v>0</v>
      </c>
      <c r="S26" s="834">
        <f>SUMIFS(ProposedLoans!$T$6:$T$21,ProposedLoans!$D$6:$D$21,$C$18,ProposedLoans!$Z$6:$Z$21,"*Aug*",ProposedLoans!$M$6:$M$21,ProposedLoansWkst!S$2)</f>
        <v>0</v>
      </c>
    </row>
    <row r="27" spans="2:19" x14ac:dyDescent="0.2">
      <c r="B27" s="835" t="s">
        <v>193</v>
      </c>
      <c r="C27" s="836" t="s">
        <v>12</v>
      </c>
      <c r="D27" s="838">
        <f>SUM(ProposedLoansWkst!$I27:$L27)</f>
        <v>0</v>
      </c>
      <c r="E27" s="838">
        <f>SUM(ProposedLoansWkst!$P27:$S27)</f>
        <v>0</v>
      </c>
      <c r="F27" s="838">
        <f>ProposedLoansWkst!$M27</f>
        <v>0</v>
      </c>
      <c r="H27" s="835" t="s">
        <v>12</v>
      </c>
      <c r="I27" s="838">
        <f>SUMIFS(ProposedLoans!$S$6:$S$21,ProposedLoans!$D$6:$D$21,$C$18,ProposedLoans!$Z$6:$Z$21,$C27,ProposedLoans!$M$6:$M$21,ProposedLoansWkst!I$2)</f>
        <v>0</v>
      </c>
      <c r="J27" s="838">
        <f>SUMIFS(ProposedLoans!$S$6:$S$21,ProposedLoans!$D$6:$D$21,$C$18,ProposedLoans!$Z$6:$Z$21,"*Sep*",ProposedLoans!$M$6:$M$21,ProposedLoansWkst!J$2)</f>
        <v>0</v>
      </c>
      <c r="K27" s="838">
        <f>SUMIFS(ProposedLoans!$S$6:$S$21,ProposedLoans!$D$6:$D$21,$C$18,ProposedLoans!$Z$6:$Z$21,"*Sep*",ProposedLoans!$M$6:$M$21,ProposedLoansWkst!K$2)</f>
        <v>0</v>
      </c>
      <c r="L27" s="838">
        <f>SUMIFS(ProposedLoans!$S$6:$S$21,ProposedLoans!$D$6:$D$21,$C$18,ProposedLoans!$Z$6:$Z$21,"*Sep*",ProposedLoans!$M$6:$M$21,ProposedLoansWkst!L$2)</f>
        <v>0</v>
      </c>
      <c r="M27" s="838">
        <f>SUMIFS(ProposedLoans!$F$6:$F$21,ProposedLoans!$D$6:$D$21,$C$18,ProposedLoans!$G$6:$G$21,"*Sep*")</f>
        <v>0</v>
      </c>
      <c r="O27" s="835" t="s">
        <v>12</v>
      </c>
      <c r="P27" s="838">
        <f>SUMIFS(ProposedLoans!$T$6:$T$21,ProposedLoans!$D$6:$D$21,$C$18,ProposedLoans!$Z$6:$Z$21,$C27,ProposedLoans!$M$6:$M$21,ProposedLoansWkst!I$2)</f>
        <v>0</v>
      </c>
      <c r="Q27" s="838">
        <f>SUMIFS(ProposedLoans!$T$6:$T$21,ProposedLoans!$D$6:$D$21,$C$18,ProposedLoans!$Z$6:$Z$21,"*Sep*",ProposedLoans!$M$6:$M$21,ProposedLoansWkst!Q$2)</f>
        <v>0</v>
      </c>
      <c r="R27" s="838">
        <f>SUMIFS(ProposedLoans!$T$6:$T$21,ProposedLoans!$D$6:$D$21,$C$18,ProposedLoans!$Z$6:$Z$21,"*Sep*",ProposedLoans!$M$6:$M$21,ProposedLoansWkst!R$2)</f>
        <v>0</v>
      </c>
      <c r="S27" s="838">
        <f>SUMIFS(ProposedLoans!$T$6:$T$21,ProposedLoans!$D$6:$D$21,$C$18,ProposedLoans!$Z$6:$Z$21,"*Sep*",ProposedLoans!$M$6:$M$21,ProposedLoansWkst!S$2)</f>
        <v>0</v>
      </c>
    </row>
    <row r="28" spans="2:19" x14ac:dyDescent="0.2">
      <c r="B28" s="831" t="s">
        <v>194</v>
      </c>
      <c r="C28" s="839" t="s">
        <v>13</v>
      </c>
      <c r="D28" s="834">
        <f>SUM(ProposedLoansWkst!$I28:$L28)</f>
        <v>0</v>
      </c>
      <c r="E28" s="834">
        <f>SUM(ProposedLoansWkst!$P28:$S28)</f>
        <v>0</v>
      </c>
      <c r="F28" s="834">
        <f>ProposedLoansWkst!$M28</f>
        <v>0</v>
      </c>
      <c r="H28" s="831" t="s">
        <v>13</v>
      </c>
      <c r="I28" s="834">
        <f>SUMIFS(ProposedLoans!$S$6:$S$21,ProposedLoans!$D$6:$D$21,$C$18,ProposedLoans!$Z$6:$Z$21,$C28,ProposedLoans!$M$6:$M$21,ProposedLoansWkst!I$2)</f>
        <v>0</v>
      </c>
      <c r="J28" s="834">
        <f>SUMIFS(ProposedLoans!$S$6:$S$21,ProposedLoans!$D$6:$D$21,$C$18,ProposedLoans!$Z$6:$Z$21,"*Oct*",ProposedLoans!$M$6:$M$21,ProposedLoansWkst!J$2)</f>
        <v>0</v>
      </c>
      <c r="K28" s="834">
        <f>SUMIFS(ProposedLoans!$S$6:$S$21,ProposedLoans!$D$6:$D$21,$C$18,ProposedLoans!$Z$6:$Z$21,"*Oct*",ProposedLoans!$M$6:$M$21,ProposedLoansWkst!K$2)</f>
        <v>0</v>
      </c>
      <c r="L28" s="834">
        <f>SUMIFS(ProposedLoans!$S$6:$S$21,ProposedLoans!$D$6:$D$21,$C$18,ProposedLoans!$Z$6:$Z$21,"*Oct*",ProposedLoans!$M$6:$M$21,ProposedLoansWkst!L$2)</f>
        <v>0</v>
      </c>
      <c r="M28" s="834">
        <f>SUMIFS(ProposedLoans!$F$6:$F$21,ProposedLoans!$D$6:$D$21,$C$18,ProposedLoans!$G$6:$G$21,"*Oct*")</f>
        <v>0</v>
      </c>
      <c r="O28" s="831" t="s">
        <v>13</v>
      </c>
      <c r="P28" s="834">
        <f>SUMIFS(ProposedLoans!$T$6:$T$21,ProposedLoans!$D$6:$D$21,$C$18,ProposedLoans!$Z$6:$Z$21,$C28,ProposedLoans!$M$6:$M$21,ProposedLoansWkst!I$2)</f>
        <v>0</v>
      </c>
      <c r="Q28" s="834">
        <f>SUMIFS(ProposedLoans!$T$6:$T$21,ProposedLoans!$D$6:$D$21,$C$18,ProposedLoans!$Z$6:$Z$21,"*Oct*",ProposedLoans!$M$6:$M$21,ProposedLoansWkst!Q$2)</f>
        <v>0</v>
      </c>
      <c r="R28" s="834">
        <f>SUMIFS(ProposedLoans!$T$6:$T$21,ProposedLoans!$D$6:$D$21,$C$18,ProposedLoans!$Z$6:$Z$21,"*Oct*",ProposedLoans!$M$6:$M$21,ProposedLoansWkst!R$2)</f>
        <v>0</v>
      </c>
      <c r="S28" s="834">
        <f>SUMIFS(ProposedLoans!$T$6:$T$21,ProposedLoans!$D$6:$D$21,$C$18,ProposedLoans!$Z$6:$Z$21,"*Oct*",ProposedLoans!$M$6:$M$21,ProposedLoansWkst!S$2)</f>
        <v>0</v>
      </c>
    </row>
    <row r="29" spans="2:19" x14ac:dyDescent="0.2">
      <c r="B29" s="835" t="s">
        <v>195</v>
      </c>
      <c r="C29" s="836" t="s">
        <v>14</v>
      </c>
      <c r="D29" s="838">
        <f>SUM(ProposedLoansWkst!$I29:$L29)</f>
        <v>0</v>
      </c>
      <c r="E29" s="838">
        <f>SUM(ProposedLoansWkst!$P29:$S29)</f>
        <v>0</v>
      </c>
      <c r="F29" s="838">
        <f>ProposedLoansWkst!$M29</f>
        <v>0</v>
      </c>
      <c r="H29" s="835" t="s">
        <v>14</v>
      </c>
      <c r="I29" s="838">
        <f>SUMIFS(ProposedLoans!$S$6:$S$21,ProposedLoans!$D$6:$D$21,$C$18,ProposedLoans!$Z$6:$Z$21,$C29,ProposedLoans!$M$6:$M$21,ProposedLoansWkst!I$2)</f>
        <v>0</v>
      </c>
      <c r="J29" s="838">
        <f>SUMIFS(ProposedLoans!$S$6:$S$21,ProposedLoans!$D$6:$D$21,$C$18,ProposedLoans!$Z$6:$Z$21,"*Nov*",ProposedLoans!$M$6:$M$21,ProposedLoansWkst!J$2)</f>
        <v>0</v>
      </c>
      <c r="K29" s="838">
        <f>SUMIFS(ProposedLoans!$S$6:$S$21,ProposedLoans!$D$6:$D$21,$C$18,ProposedLoans!$Z$6:$Z$21,"*Nov*",ProposedLoans!$M$6:$M$21,ProposedLoansWkst!K$2)</f>
        <v>0</v>
      </c>
      <c r="L29" s="838">
        <f>SUMIFS(ProposedLoans!$S$6:$S$21,ProposedLoans!$D$6:$D$21,$C$18,ProposedLoans!$Z$6:$Z$21,"*Nov*",ProposedLoans!$M$6:$M$21,ProposedLoansWkst!L$2)</f>
        <v>0</v>
      </c>
      <c r="M29" s="838">
        <f>SUMIFS(ProposedLoans!$F$6:$F$21,ProposedLoans!$D$6:$D$21,$C$18,ProposedLoans!$G$6:$G$21,"*Nov*")</f>
        <v>0</v>
      </c>
      <c r="O29" s="835" t="s">
        <v>14</v>
      </c>
      <c r="P29" s="838">
        <f>SUMIFS(ProposedLoans!$T$6:$T$21,ProposedLoans!$D$6:$D$21,$C$18,ProposedLoans!$Z$6:$Z$21,$C29,ProposedLoans!$M$6:$M$21,ProposedLoansWkst!I$2)</f>
        <v>0</v>
      </c>
      <c r="Q29" s="838">
        <f>SUMIFS(ProposedLoans!$T$6:$T$21,ProposedLoans!$D$6:$D$21,$C$18,ProposedLoans!$Z$6:$Z$21,"*Nov*",ProposedLoans!$M$6:$M$21,ProposedLoansWkst!Q$2)</f>
        <v>0</v>
      </c>
      <c r="R29" s="838">
        <f>SUMIFS(ProposedLoans!$T$6:$T$21,ProposedLoans!$D$6:$D$21,$C$18,ProposedLoans!$Z$6:$Z$21,"*Nov*",ProposedLoans!$M$6:$M$21,ProposedLoansWkst!R$2)</f>
        <v>0</v>
      </c>
      <c r="S29" s="838">
        <f>SUMIFS(ProposedLoans!$T$6:$T$21,ProposedLoans!$D$6:$D$21,$C$18,ProposedLoans!$Z$6:$Z$21,"*Nov*",ProposedLoans!$M$6:$M$21,ProposedLoansWkst!S$2)</f>
        <v>0</v>
      </c>
    </row>
    <row r="30" spans="2:19" ht="13.5" thickBot="1" x14ac:dyDescent="0.25">
      <c r="B30" s="831" t="s">
        <v>196</v>
      </c>
      <c r="C30" s="839" t="s">
        <v>15</v>
      </c>
      <c r="D30" s="834">
        <f>SUM(ProposedLoansWkst!$I30:$L30)</f>
        <v>0</v>
      </c>
      <c r="E30" s="834">
        <f>SUM(ProposedLoansWkst!$P30:$S30)</f>
        <v>0</v>
      </c>
      <c r="F30" s="834">
        <f>ProposedLoansWkst!$M30</f>
        <v>0</v>
      </c>
      <c r="H30" s="831" t="s">
        <v>15</v>
      </c>
      <c r="I30" s="834">
        <f>SUMIFS(ProposedLoans!$S$6:$S$21,ProposedLoans!$D$6:$D$21,$C$18,ProposedLoans!$Z$6:$Z$21,$C30,ProposedLoans!$M$6:$M$21,ProposedLoansWkst!I$2)</f>
        <v>0</v>
      </c>
      <c r="J30" s="834">
        <f>SUMIFS(ProposedLoans!$S$6:$S$21,ProposedLoans!$D$6:$D$21,$C$18,ProposedLoans!$Z$6:$Z$21,"*Dec*",ProposedLoans!$M$6:$M$21,ProposedLoansWkst!J$2)</f>
        <v>0</v>
      </c>
      <c r="K30" s="834">
        <f>SUMIFS(ProposedLoans!$S$6:$S$21,ProposedLoans!$D$6:$D$21,$C$18,ProposedLoans!$Z$6:$Z$21,"*Dec*",ProposedLoans!$M$6:$M$21,ProposedLoansWkst!K$2)</f>
        <v>0</v>
      </c>
      <c r="L30" s="834">
        <f>SUMIFS(ProposedLoans!$S$6:$S$21,ProposedLoans!$D$6:$D$21,$C$18,ProposedLoans!$Z$6:$Z$21,"*Dec*",ProposedLoans!$M$6:$M$21,ProposedLoansWkst!L$2)</f>
        <v>0</v>
      </c>
      <c r="M30" s="834">
        <f>SUMIFS(ProposedLoans!$F$6:$F$21,ProposedLoans!$D$6:$D$21,$C$18,ProposedLoans!$G$6:$G$21,"*Dec*")</f>
        <v>0</v>
      </c>
      <c r="O30" s="831" t="s">
        <v>15</v>
      </c>
      <c r="P30" s="834">
        <f>SUMIFS(ProposedLoans!$T$6:$T$21,ProposedLoans!$D$6:$D$21,$C$18,ProposedLoans!$Z$6:$Z$21,$C30,ProposedLoans!$M$6:$M$21,ProposedLoansWkst!I$2)</f>
        <v>0</v>
      </c>
      <c r="Q30" s="834">
        <f>SUMIFS(ProposedLoans!$T$6:$T$21,ProposedLoans!$D$6:$D$21,$C$18,ProposedLoans!$Z$6:$Z$21,"*Dec*",ProposedLoans!$M$6:$M$21,ProposedLoansWkst!Q$2)</f>
        <v>0</v>
      </c>
      <c r="R30" s="834">
        <f>SUMIFS(ProposedLoans!$T$6:$T$21,ProposedLoans!$D$6:$D$21,$C$18,ProposedLoans!$Z$6:$Z$21,"*Dec*",ProposedLoans!$M$6:$M$21,ProposedLoansWkst!R$2)</f>
        <v>0</v>
      </c>
      <c r="S30" s="834">
        <f>SUMIFS(ProposedLoans!$T$6:$T$21,ProposedLoans!$D$6:$D$21,$C$18,ProposedLoans!$Z$6:$Z$21,"*Dec*",ProposedLoans!$M$6:$M$21,ProposedLoansWkst!S$2)</f>
        <v>0</v>
      </c>
    </row>
    <row r="31" spans="2:19" ht="13.5" thickTop="1" x14ac:dyDescent="0.2">
      <c r="B31" s="840"/>
      <c r="C31" s="841"/>
      <c r="D31" s="842">
        <f>SUM(ProposedLoansWkst!$D$19:$D$30)</f>
        <v>0</v>
      </c>
      <c r="E31" s="824">
        <f>SUM(ProposedLoansWkst!$E$19:$E$30)</f>
        <v>0</v>
      </c>
      <c r="F31" s="823">
        <f>SUM(ProposedLoansWkst!$F$19:$F$30)</f>
        <v>0</v>
      </c>
      <c r="H31" s="845"/>
      <c r="I31" s="824">
        <f>SUM(ProposedLoansWkst!$I$19:$I$30)</f>
        <v>0</v>
      </c>
      <c r="J31" s="824">
        <f>SUM(ProposedLoansWkst!$J$19:$J$30)</f>
        <v>0</v>
      </c>
      <c r="K31" s="824">
        <f>SUM(ProposedLoansWkst!$K$19:$K$30)</f>
        <v>0</v>
      </c>
      <c r="L31" s="824">
        <f>SUM(ProposedLoansWkst!$L$19:$L$30)</f>
        <v>0</v>
      </c>
      <c r="M31" s="824">
        <f>SUM(ProposedLoansWkst!$M$19:$M$30)</f>
        <v>0</v>
      </c>
      <c r="O31" s="845"/>
      <c r="P31" s="824">
        <f>SUM(ProposedLoansWkst!$P$19:$P$30)</f>
        <v>0</v>
      </c>
      <c r="Q31" s="824">
        <f>SUM(ProposedLoansWkst!$Q$19:$Q$30)</f>
        <v>0</v>
      </c>
      <c r="R31" s="824">
        <f>SUM(ProposedLoansWkst!$R$19:$R$30)</f>
        <v>0</v>
      </c>
      <c r="S31" s="824">
        <f>SUM(ProposedLoansWkst!$S$19:$S$30)</f>
        <v>0</v>
      </c>
    </row>
    <row r="33" spans="2:19" x14ac:dyDescent="0.2">
      <c r="H33" s="57" t="s">
        <v>206</v>
      </c>
    </row>
    <row r="34" spans="2:19" ht="13.5" thickBot="1" x14ac:dyDescent="0.25">
      <c r="B34" s="825" t="s">
        <v>126</v>
      </c>
      <c r="C34" s="826" t="s">
        <v>178</v>
      </c>
      <c r="D34" s="826" t="s">
        <v>179</v>
      </c>
      <c r="E34" s="826" t="s">
        <v>180</v>
      </c>
      <c r="F34" s="826" t="s">
        <v>213</v>
      </c>
      <c r="H34" s="825" t="s">
        <v>200</v>
      </c>
      <c r="I34" s="826" t="s">
        <v>105</v>
      </c>
      <c r="J34" s="826" t="s">
        <v>103</v>
      </c>
      <c r="K34" s="826" t="s">
        <v>101</v>
      </c>
      <c r="L34" s="826" t="s">
        <v>100</v>
      </c>
      <c r="M34" s="826" t="s">
        <v>213</v>
      </c>
      <c r="N34" s="57"/>
      <c r="O34" s="825" t="s">
        <v>200</v>
      </c>
      <c r="P34" s="846" t="s">
        <v>105</v>
      </c>
      <c r="Q34" s="846" t="s">
        <v>103</v>
      </c>
      <c r="R34" s="846" t="s">
        <v>101</v>
      </c>
      <c r="S34" s="846" t="s">
        <v>100</v>
      </c>
    </row>
    <row r="35" spans="2:19" ht="13.5" thickTop="1" x14ac:dyDescent="0.2">
      <c r="B35" s="827" t="s">
        <v>186</v>
      </c>
      <c r="C35" s="828" t="s">
        <v>5</v>
      </c>
      <c r="D35" s="829">
        <f>SUM(ProposedLoansWkst!$I35:$L35)+ProposedLoansWkst!$E35</f>
        <v>0</v>
      </c>
      <c r="E35" s="830">
        <f>SUM(ProposedLoansWkst!$P35:$S35)</f>
        <v>0</v>
      </c>
      <c r="F35" s="830">
        <f>SUM(ProposedLoansWkst!$M35)</f>
        <v>0</v>
      </c>
      <c r="H35" s="843" t="s">
        <v>5</v>
      </c>
      <c r="I35" s="829">
        <f>SUMIFS(ProposedLoans!$S$6:$S$21,ProposedLoans!$D$6:$D$21,$C$34,ProposedLoans!$Z$6:$Z$21,$C35,ProposedLoans!$M$6:$M$21,ProposedLoansWkst!I$2)</f>
        <v>0</v>
      </c>
      <c r="J35" s="830">
        <f>SUMIFS(ProposedLoans!$S$6:$S$21,ProposedLoans!$D$6:$D$21,$C$34,ProposedLoans!$Z$6:$Z$21,"*Jan*",ProposedLoans!$M$6:$M$21,ProposedLoansWkst!J$2)</f>
        <v>0</v>
      </c>
      <c r="K35" s="830">
        <f>SUMIFS(ProposedLoans!$S$6:$S$21,ProposedLoans!$D$6:$D$21,$C$34,ProposedLoans!$Z$6:$Z$21,"*Jan*",ProposedLoans!$M$6:$M$21,ProposedLoansWkst!K$2)</f>
        <v>0</v>
      </c>
      <c r="L35" s="830">
        <f>SUMIFS(ProposedLoans!$S$6:$S$21,ProposedLoans!$D$6:$D$21,$C$34,ProposedLoans!$Z$6:$Z$21,"*Jan*",ProposedLoans!$M$6:$M$21,ProposedLoansWkst!L$2)</f>
        <v>0</v>
      </c>
      <c r="M35" s="830">
        <f>SUMIFS(ProposedLoans!$F$6:$F$21,ProposedLoans!$D$6:$D$21,$C$34,ProposedLoans!$G$6:$G$21,"*Jan*")</f>
        <v>0</v>
      </c>
      <c r="O35" s="843" t="s">
        <v>5</v>
      </c>
      <c r="P35" s="830">
        <f>SUMIFS(ProposedLoans!$T$6:$T$21,ProposedLoans!$D$6:$D$21,$C$34,ProposedLoans!$Z$6:$Z$21,$C35,ProposedLoans!$M$6:$M$21,ProposedLoansWkst!I$2)</f>
        <v>0</v>
      </c>
      <c r="Q35" s="830">
        <f>SUMIFS(ProposedLoans!$T$6:$T$21,ProposedLoans!$D$6:$D$21,$C$34,ProposedLoans!$Z$6:$Z$21,"*Jan*",ProposedLoans!$M$6:$M$21,ProposedLoansWkst!Q$2)</f>
        <v>0</v>
      </c>
      <c r="R35" s="830">
        <f>SUMIFS(ProposedLoans!$T$6:$T$21,ProposedLoans!$D$6:$D$21,$C$34,ProposedLoans!$Z$6:$Z$21,"*Jan*",ProposedLoans!$M$6:$M$21,ProposedLoansWkst!R$2)</f>
        <v>0</v>
      </c>
      <c r="S35" s="830">
        <f>SUMIFS(ProposedLoans!$T$6:$T$21,ProposedLoans!$D$6:$D$21,$C$34,ProposedLoans!$Z$6:$Z$21,"*Jan*",ProposedLoans!$M$6:$M$21,ProposedLoansWkst!S$2)</f>
        <v>0</v>
      </c>
    </row>
    <row r="36" spans="2:19" x14ac:dyDescent="0.2">
      <c r="B36" s="831" t="s">
        <v>187</v>
      </c>
      <c r="C36" s="832" t="s">
        <v>6</v>
      </c>
      <c r="D36" s="833">
        <f>SUM(ProposedLoansWkst!$I36:$L36)+ProposedLoansWkst!$E36</f>
        <v>0</v>
      </c>
      <c r="E36" s="834">
        <f>SUM(ProposedLoansWkst!$P36:$S36)</f>
        <v>0</v>
      </c>
      <c r="F36" s="834">
        <f>SUM(ProposedLoansWkst!$M36)</f>
        <v>0</v>
      </c>
      <c r="H36" s="844" t="s">
        <v>6</v>
      </c>
      <c r="I36" s="833">
        <f>SUMIFS(ProposedLoans!$S$6:$S$21,ProposedLoans!$D$6:$D$21,$C$34,ProposedLoans!$Z$6:$Z$21,$C36,ProposedLoans!$M$6:$M$21,ProposedLoansWkst!I$2)</f>
        <v>0</v>
      </c>
      <c r="J36" s="834">
        <f>SUMIFS(ProposedLoans!$S$6:$S$21,ProposedLoans!$D$6:$D$21,$C$34,ProposedLoans!$Z$6:$Z$21,"*Feb*",ProposedLoans!$M$6:$M$21,ProposedLoansWkst!J$2)</f>
        <v>0</v>
      </c>
      <c r="K36" s="834">
        <f>SUMIFS(ProposedLoans!$S$6:$S$21,ProposedLoans!$D$6:$D$21,$C$34,ProposedLoans!$Z$6:$Z$21,"*Feb*",ProposedLoans!$M$6:$M$21,ProposedLoansWkst!K$2)</f>
        <v>0</v>
      </c>
      <c r="L36" s="834">
        <f>SUMIFS(ProposedLoans!$S$6:$S$21,ProposedLoans!$D$6:$D$21,$C$34,ProposedLoans!$Z$6:$Z$21,"*Feb*",ProposedLoans!$M$6:$M$21,ProposedLoansWkst!L$2)</f>
        <v>0</v>
      </c>
      <c r="M36" s="834">
        <f>SUMIFS(ProposedLoans!$F$6:$F$21,ProposedLoans!$D$6:$D$21,$C$34,ProposedLoans!$G$6:$G$21,"*Feb*")</f>
        <v>0</v>
      </c>
      <c r="O36" s="844" t="s">
        <v>6</v>
      </c>
      <c r="P36" s="834">
        <f>SUMIFS(ProposedLoans!$T$6:$T$21,ProposedLoans!$D$6:$D$21,$C$34,ProposedLoans!$Z$6:$Z$21,$C36,ProposedLoans!$M$6:$M$21,ProposedLoansWkst!I$2)</f>
        <v>0</v>
      </c>
      <c r="Q36" s="834">
        <f>SUMIFS(ProposedLoans!$T$6:$T$21,ProposedLoans!$D$6:$D$21,$C$34,ProposedLoans!$Z$6:$Z$21,"*Feb*",ProposedLoans!$M$6:$M$21,ProposedLoansWkst!Q$2)</f>
        <v>0</v>
      </c>
      <c r="R36" s="834">
        <f>SUMIFS(ProposedLoans!$T$6:$T$21,ProposedLoans!$D$6:$D$21,$C$34,ProposedLoans!$Z$6:$Z$21,"*Feb*",ProposedLoans!$M$6:$M$21,ProposedLoansWkst!R$2)</f>
        <v>0</v>
      </c>
      <c r="S36" s="834">
        <f>SUMIFS(ProposedLoans!$T$6:$T$21,ProposedLoans!$D$6:$D$21,$C$34,ProposedLoans!$Z$6:$Z$21,"*Feb*",ProposedLoans!$M$6:$M$21,ProposedLoansWkst!S$2)</f>
        <v>0</v>
      </c>
    </row>
    <row r="37" spans="2:19" x14ac:dyDescent="0.2">
      <c r="B37" s="835" t="s">
        <v>188</v>
      </c>
      <c r="C37" s="836" t="s">
        <v>7</v>
      </c>
      <c r="D37" s="837">
        <f>SUM(ProposedLoansWkst!$I37:$L37)+ProposedLoansWkst!$E37</f>
        <v>0</v>
      </c>
      <c r="E37" s="838">
        <f>SUM(ProposedLoansWkst!$P37:$S37)</f>
        <v>0</v>
      </c>
      <c r="F37" s="838">
        <f>SUM(ProposedLoansWkst!$M37)</f>
        <v>0</v>
      </c>
      <c r="H37" s="835" t="s">
        <v>7</v>
      </c>
      <c r="I37" s="837">
        <f>SUMIFS(ProposedLoans!$S$6:$S$21,ProposedLoans!$D$6:$D$21,$C$34,ProposedLoans!$Z$6:$Z$21,$C37,ProposedLoans!$M$6:$M$21,ProposedLoansWkst!I$2)</f>
        <v>0</v>
      </c>
      <c r="J37" s="838">
        <f>SUMIFS(ProposedLoans!$S$6:$S$21,ProposedLoans!$D$6:$D$21,$C$34,ProposedLoans!$Z$6:$Z$21,"*Mar*",ProposedLoans!$M$6:$M$21,ProposedLoansWkst!J$2)</f>
        <v>0</v>
      </c>
      <c r="K37" s="838">
        <f>SUMIFS(ProposedLoans!$S$6:$S$21,ProposedLoans!$D$6:$D$21,$C$34,ProposedLoans!$Z$6:$Z$21,"*Mar*",ProposedLoans!$M$6:$M$21,ProposedLoansWkst!K$2)</f>
        <v>0</v>
      </c>
      <c r="L37" s="838">
        <f>SUMIFS(ProposedLoans!$S$6:$S$21,ProposedLoans!$D$6:$D$21,$C$34,ProposedLoans!$Z$6:$Z$21,"*Mar*",ProposedLoans!$M$6:$M$21,ProposedLoansWkst!L$2)</f>
        <v>0</v>
      </c>
      <c r="M37" s="838">
        <f>SUMIFS(ProposedLoans!$F$6:$F$21,ProposedLoans!$D$6:$D$21,$C$34,ProposedLoans!$G$6:$G$21,"*Mar*")</f>
        <v>0</v>
      </c>
      <c r="O37" s="835" t="s">
        <v>7</v>
      </c>
      <c r="P37" s="838">
        <f>SUMIFS(ProposedLoans!$T$6:$T$21,ProposedLoans!$D$6:$D$21,$C$34,ProposedLoans!$Z$6:$Z$21,$C37,ProposedLoans!$M$6:$M$21,ProposedLoansWkst!I$2)</f>
        <v>0</v>
      </c>
      <c r="Q37" s="838">
        <f>SUMIFS(ProposedLoans!$T$6:$T$21,ProposedLoans!$D$6:$D$21,$C$34,ProposedLoans!$Z$6:$Z$21,"*Mar*",ProposedLoans!$M$6:$M$21,ProposedLoansWkst!Q$2)</f>
        <v>0</v>
      </c>
      <c r="R37" s="838">
        <f>SUMIFS(ProposedLoans!$T$6:$T$21,ProposedLoans!$D$6:$D$21,$C$34,ProposedLoans!$Z$6:$Z$21,"*Mar*",ProposedLoans!$M$6:$M$21,ProposedLoansWkst!R$2)</f>
        <v>0</v>
      </c>
      <c r="S37" s="838">
        <f>SUMIFS(ProposedLoans!$T$6:$T$21,ProposedLoans!$D$6:$D$21,$C$34,ProposedLoans!$Z$6:$Z$21,"*Mar*",ProposedLoans!$M$6:$M$21,ProposedLoansWkst!S$2)</f>
        <v>0</v>
      </c>
    </row>
    <row r="38" spans="2:19" x14ac:dyDescent="0.2">
      <c r="B38" s="831" t="s">
        <v>189</v>
      </c>
      <c r="C38" s="839" t="s">
        <v>8</v>
      </c>
      <c r="D38" s="833">
        <f>SUM(ProposedLoansWkst!$I38:$L38)+ProposedLoansWkst!$E38</f>
        <v>0</v>
      </c>
      <c r="E38" s="834">
        <f>SUM(ProposedLoansWkst!$P38:$S38)</f>
        <v>0</v>
      </c>
      <c r="F38" s="834">
        <f>SUM(ProposedLoansWkst!$M38)</f>
        <v>0</v>
      </c>
      <c r="H38" s="831" t="s">
        <v>8</v>
      </c>
      <c r="I38" s="833">
        <f>SUMIFS(ProposedLoans!$S$6:$S$21,ProposedLoans!$D$6:$D$21,$C$34,ProposedLoans!$Z$6:$Z$21,$C38,ProposedLoans!$M$6:$M$21,ProposedLoansWkst!I$2)</f>
        <v>0</v>
      </c>
      <c r="J38" s="834">
        <f>SUMIFS(ProposedLoans!$S$6:$S$21,ProposedLoans!$D$6:$D$21,$C$34,ProposedLoans!$Z$6:$Z$21,"*Apr*",ProposedLoans!$M$6:$M$21,ProposedLoansWkst!J$2)</f>
        <v>0</v>
      </c>
      <c r="K38" s="834">
        <f>SUMIFS(ProposedLoans!$S$6:$S$21,ProposedLoans!$D$6:$D$21,$C$34,ProposedLoans!$Z$6:$Z$21,"*Apr*",ProposedLoans!$M$6:$M$21,ProposedLoansWkst!K$2)</f>
        <v>0</v>
      </c>
      <c r="L38" s="834">
        <f>SUMIFS(ProposedLoans!$S$6:$S$21,ProposedLoans!$D$6:$D$21,$C$34,ProposedLoans!$Z$6:$Z$21,"*Apr*",ProposedLoans!$M$6:$M$21,ProposedLoansWkst!L$2)</f>
        <v>0</v>
      </c>
      <c r="M38" s="834">
        <f>SUMIFS(ProposedLoans!$F$6:$F$21,ProposedLoans!$D$6:$D$21,$C$34,ProposedLoans!$G$6:$G$21,"*Apr*")</f>
        <v>0</v>
      </c>
      <c r="O38" s="831" t="s">
        <v>8</v>
      </c>
      <c r="P38" s="834">
        <f>SUMIFS(ProposedLoans!$T$6:$T$21,ProposedLoans!$D$6:$D$21,$C$34,ProposedLoans!$Z$6:$Z$21,$C38,ProposedLoans!$M$6:$M$21,ProposedLoansWkst!I$2)</f>
        <v>0</v>
      </c>
      <c r="Q38" s="834">
        <f>SUMIFS(ProposedLoans!$T$6:$T$21,ProposedLoans!$D$6:$D$21,$C$34,ProposedLoans!$Z$6:$Z$21,"*Apr*",ProposedLoans!$M$6:$M$21,ProposedLoansWkst!Q$2)</f>
        <v>0</v>
      </c>
      <c r="R38" s="834">
        <f>SUMIFS(ProposedLoans!$T$6:$T$21,ProposedLoans!$D$6:$D$21,$C$34,ProposedLoans!$Z$6:$Z$21,"*Apr*",ProposedLoans!$M$6:$M$21,ProposedLoansWkst!R$2)</f>
        <v>0</v>
      </c>
      <c r="S38" s="834">
        <f>SUMIFS(ProposedLoans!$T$6:$T$21,ProposedLoans!$D$6:$D$21,$C$34,ProposedLoans!$Z$6:$Z$21,"*Apr*",ProposedLoans!$M$6:$M$21,ProposedLoansWkst!S$2)</f>
        <v>0</v>
      </c>
    </row>
    <row r="39" spans="2:19" x14ac:dyDescent="0.2">
      <c r="B39" s="835" t="s">
        <v>4</v>
      </c>
      <c r="C39" s="836" t="s">
        <v>4</v>
      </c>
      <c r="D39" s="837">
        <f>SUM(ProposedLoansWkst!$I39:$L39)+ProposedLoansWkst!$E39</f>
        <v>0</v>
      </c>
      <c r="E39" s="838">
        <f>SUM(ProposedLoansWkst!$P39:$S39)</f>
        <v>0</v>
      </c>
      <c r="F39" s="838">
        <f>SUM(ProposedLoansWkst!$M39)</f>
        <v>0</v>
      </c>
      <c r="H39" s="835" t="s">
        <v>4</v>
      </c>
      <c r="I39" s="837">
        <f>SUMIFS(ProposedLoans!$S$6:$S$21,ProposedLoans!$D$6:$D$21,$C$34,ProposedLoans!$Z$6:$Z$21,$C39,ProposedLoans!$M$6:$M$21,ProposedLoansWkst!I$2)</f>
        <v>0</v>
      </c>
      <c r="J39" s="838">
        <f>SUMIFS(ProposedLoans!$S$6:$S$21,ProposedLoans!$D$6:$D$21,$C$34,ProposedLoans!$Z$6:$Z$21,"*May*",ProposedLoans!$M$6:$M$21,ProposedLoansWkst!J$2)</f>
        <v>0</v>
      </c>
      <c r="K39" s="838">
        <f>SUMIFS(ProposedLoans!$S$6:$S$21,ProposedLoans!$D$6:$D$21,$C$34,ProposedLoans!$Z$6:$Z$21,"*May*",ProposedLoans!$M$6:$M$21,ProposedLoansWkst!K$2)</f>
        <v>0</v>
      </c>
      <c r="L39" s="838">
        <f>SUMIFS(ProposedLoans!$S$6:$S$21,ProposedLoans!$D$6:$D$21,$C$34,ProposedLoans!$Z$6:$Z$21,"*May*",ProposedLoans!$M$6:$M$21,ProposedLoansWkst!L$2)</f>
        <v>0</v>
      </c>
      <c r="M39" s="838">
        <f>SUMIFS(ProposedLoans!$F$6:$F$21,ProposedLoans!$D$6:$D$21,$C$34,ProposedLoans!$G$6:$G$21,"*May*")</f>
        <v>0</v>
      </c>
      <c r="O39" s="835" t="s">
        <v>4</v>
      </c>
      <c r="P39" s="838">
        <f>SUMIFS(ProposedLoans!$T$6:$T$21,ProposedLoans!$D$6:$D$21,$C$34,ProposedLoans!$Z$6:$Z$21,$C39,ProposedLoans!$M$6:$M$21,ProposedLoansWkst!I$2)</f>
        <v>0</v>
      </c>
      <c r="Q39" s="838">
        <f>SUMIFS(ProposedLoans!$T$6:$T$21,ProposedLoans!$D$6:$D$21,$C$34,ProposedLoans!$Z$6:$Z$21,"*May*",ProposedLoans!$M$6:$M$21,ProposedLoansWkst!Q$2)</f>
        <v>0</v>
      </c>
      <c r="R39" s="838">
        <f>SUMIFS(ProposedLoans!$T$6:$T$21,ProposedLoans!$D$6:$D$21,$C$34,ProposedLoans!$Z$6:$Z$21,"*May*",ProposedLoans!$M$6:$M$21,ProposedLoansWkst!R$2)</f>
        <v>0</v>
      </c>
      <c r="S39" s="838">
        <f>SUMIFS(ProposedLoans!$T$6:$T$21,ProposedLoans!$D$6:$D$21,$C$34,ProposedLoans!$Z$6:$Z$21,"*May*",ProposedLoans!$M$6:$M$21,ProposedLoansWkst!S$2)</f>
        <v>0</v>
      </c>
    </row>
    <row r="40" spans="2:19" x14ac:dyDescent="0.2">
      <c r="B40" s="831" t="s">
        <v>190</v>
      </c>
      <c r="C40" s="839" t="s">
        <v>9</v>
      </c>
      <c r="D40" s="833">
        <f>SUM(ProposedLoansWkst!$I40:$L40)+ProposedLoansWkst!$E40</f>
        <v>0</v>
      </c>
      <c r="E40" s="834">
        <f>SUM(ProposedLoansWkst!$P40:$S40)</f>
        <v>0</v>
      </c>
      <c r="F40" s="834">
        <f>SUM(ProposedLoansWkst!$M40)</f>
        <v>0</v>
      </c>
      <c r="H40" s="831" t="s">
        <v>9</v>
      </c>
      <c r="I40" s="833">
        <f>SUMIFS(ProposedLoans!$S$6:$S$21,ProposedLoans!$D$6:$D$21,$C$34,ProposedLoans!$Z$6:$Z$21,$C40,ProposedLoans!$M$6:$M$21,ProposedLoansWkst!I$2)</f>
        <v>0</v>
      </c>
      <c r="J40" s="834">
        <f>SUMIFS(ProposedLoans!$S$6:$S$21,ProposedLoans!$D$6:$D$21,$C$34,ProposedLoans!$Z$6:$Z$21,"*Jun*",ProposedLoans!$M$6:$M$21,ProposedLoansWkst!J$2)</f>
        <v>0</v>
      </c>
      <c r="K40" s="834">
        <f>SUMIFS(ProposedLoans!$S$6:$S$21,ProposedLoans!$D$6:$D$21,$C$34,ProposedLoans!$Z$6:$Z$21,"*Jun*",ProposedLoans!$M$6:$M$21,ProposedLoansWkst!K$2)</f>
        <v>0</v>
      </c>
      <c r="L40" s="834">
        <f>SUMIFS(ProposedLoans!$S$6:$S$21,ProposedLoans!$D$6:$D$21,$C$34,ProposedLoans!$Z$6:$Z$21,"*Jun*",ProposedLoans!$M$6:$M$21,ProposedLoansWkst!L$2)</f>
        <v>0</v>
      </c>
      <c r="M40" s="834">
        <f>SUMIFS(ProposedLoans!$F$6:$F$21,ProposedLoans!$D$6:$D$21,$C$34,ProposedLoans!$G$6:$G$21,"*Jun*")</f>
        <v>0</v>
      </c>
      <c r="O40" s="831" t="s">
        <v>9</v>
      </c>
      <c r="P40" s="834">
        <f>SUMIFS(ProposedLoans!$T$6:$T$21,ProposedLoans!$D$6:$D$21,$C$34,ProposedLoans!$Z$6:$Z$21,$C40,ProposedLoans!$M$6:$M$21,ProposedLoansWkst!I$2)</f>
        <v>0</v>
      </c>
      <c r="Q40" s="834">
        <f>SUMIFS(ProposedLoans!$T$6:$T$21,ProposedLoans!$D$6:$D$21,$C$34,ProposedLoans!$Z$6:$Z$21,"*Jun*",ProposedLoans!$M$6:$M$21,ProposedLoansWkst!Q$2)</f>
        <v>0</v>
      </c>
      <c r="R40" s="834">
        <f>SUMIFS(ProposedLoans!$T$6:$T$21,ProposedLoans!$D$6:$D$21,$C$34,ProposedLoans!$Z$6:$Z$21,"*Jun*",ProposedLoans!$M$6:$M$21,ProposedLoansWkst!R$2)</f>
        <v>0</v>
      </c>
      <c r="S40" s="834">
        <f>SUMIFS(ProposedLoans!$T$6:$T$21,ProposedLoans!$D$6:$D$21,$C$34,ProposedLoans!$Z$6:$Z$21,"*Jun*",ProposedLoans!$M$6:$M$21,ProposedLoansWkst!S$2)</f>
        <v>0</v>
      </c>
    </row>
    <row r="41" spans="2:19" x14ac:dyDescent="0.2">
      <c r="B41" s="835" t="s">
        <v>191</v>
      </c>
      <c r="C41" s="836" t="s">
        <v>10</v>
      </c>
      <c r="D41" s="837">
        <f>SUM(ProposedLoansWkst!$I41:$L41)+ProposedLoansWkst!$E41</f>
        <v>0</v>
      </c>
      <c r="E41" s="838">
        <f>SUM(ProposedLoansWkst!$P41:$S41)</f>
        <v>0</v>
      </c>
      <c r="F41" s="838">
        <f>SUM(ProposedLoansWkst!$M41)</f>
        <v>0</v>
      </c>
      <c r="H41" s="835" t="s">
        <v>10</v>
      </c>
      <c r="I41" s="837">
        <f>SUMIFS(ProposedLoans!$S$6:$S$21,ProposedLoans!$D$6:$D$21,$C$34,ProposedLoans!$Z$6:$Z$21,$C41,ProposedLoans!$M$6:$M$21,ProposedLoansWkst!I$2)</f>
        <v>0</v>
      </c>
      <c r="J41" s="838">
        <f>SUMIFS(ProposedLoans!$S$6:$S$21,ProposedLoans!$D$6:$D$21,$C$34,ProposedLoans!$Z$6:$Z$21,"*Jul*",ProposedLoans!$M$6:$M$21,ProposedLoansWkst!J$2)</f>
        <v>0</v>
      </c>
      <c r="K41" s="838">
        <f>SUMIFS(ProposedLoans!$S$6:$S$21,ProposedLoans!$D$6:$D$21,$C$34,ProposedLoans!$Z$6:$Z$21,"*Jul*",ProposedLoans!$M$6:$M$21,ProposedLoansWkst!K$2)</f>
        <v>0</v>
      </c>
      <c r="L41" s="838">
        <f>SUMIFS(ProposedLoans!$S$6:$S$21,ProposedLoans!$D$6:$D$21,$C$34,ProposedLoans!$Z$6:$Z$21,"*Jul*",ProposedLoans!$M$6:$M$21,ProposedLoansWkst!L$2)</f>
        <v>0</v>
      </c>
      <c r="M41" s="838">
        <f>SUMIFS(ProposedLoans!$F$6:$F$21,ProposedLoans!$D$6:$D$21,$C$34,ProposedLoans!$G$6:$G$21,"*Jul*")</f>
        <v>0</v>
      </c>
      <c r="O41" s="835" t="s">
        <v>10</v>
      </c>
      <c r="P41" s="838">
        <f>SUMIFS(ProposedLoans!$T$6:$T$21,ProposedLoans!$D$6:$D$21,$C$34,ProposedLoans!$Z$6:$Z$21,$C41,ProposedLoans!$M$6:$M$21,ProposedLoansWkst!I$2)</f>
        <v>0</v>
      </c>
      <c r="Q41" s="838">
        <f>SUMIFS(ProposedLoans!$T$6:$T$21,ProposedLoans!$D$6:$D$21,$C$34,ProposedLoans!$Z$6:$Z$21,"*Jul*",ProposedLoans!$M$6:$M$21,ProposedLoansWkst!Q$2)</f>
        <v>0</v>
      </c>
      <c r="R41" s="838">
        <f>SUMIFS(ProposedLoans!$T$6:$T$21,ProposedLoans!$D$6:$D$21,$C$34,ProposedLoans!$Z$6:$Z$21,"*Jul*",ProposedLoans!$M$6:$M$21,ProposedLoansWkst!R$2)</f>
        <v>0</v>
      </c>
      <c r="S41" s="838">
        <f>SUMIFS(ProposedLoans!$T$6:$T$21,ProposedLoans!$D$6:$D$21,$C$34,ProposedLoans!$Z$6:$Z$21,"*Jul*",ProposedLoans!$M$6:$M$21,ProposedLoansWkst!S$2)</f>
        <v>0</v>
      </c>
    </row>
    <row r="42" spans="2:19" x14ac:dyDescent="0.2">
      <c r="B42" s="831" t="s">
        <v>192</v>
      </c>
      <c r="C42" s="839" t="s">
        <v>11</v>
      </c>
      <c r="D42" s="833">
        <f>SUM(ProposedLoansWkst!$I42:$L42)+ProposedLoansWkst!$E42</f>
        <v>0</v>
      </c>
      <c r="E42" s="834">
        <f>SUM(ProposedLoansWkst!$P42:$S42)</f>
        <v>0</v>
      </c>
      <c r="F42" s="834">
        <f>SUM(ProposedLoansWkst!$M42)</f>
        <v>0</v>
      </c>
      <c r="H42" s="831" t="s">
        <v>11</v>
      </c>
      <c r="I42" s="833">
        <f>SUMIFS(ProposedLoans!$S$6:$S$21,ProposedLoans!$D$6:$D$21,$C$34,ProposedLoans!$Z$6:$Z$21,$C42,ProposedLoans!$M$6:$M$21,ProposedLoansWkst!I$2)</f>
        <v>0</v>
      </c>
      <c r="J42" s="834">
        <f>SUMIFS(ProposedLoans!$S$6:$S$21,ProposedLoans!$D$6:$D$21,$C$34,ProposedLoans!$Z$6:$Z$21,"*Aug*",ProposedLoans!$M$6:$M$21,ProposedLoansWkst!J$2)</f>
        <v>0</v>
      </c>
      <c r="K42" s="834">
        <f>SUMIFS(ProposedLoans!$S$6:$S$21,ProposedLoans!$D$6:$D$21,$C$34,ProposedLoans!$Z$6:$Z$21,"*Aug*",ProposedLoans!$M$6:$M$21,ProposedLoansWkst!K$2)</f>
        <v>0</v>
      </c>
      <c r="L42" s="834">
        <f>SUMIFS(ProposedLoans!$S$6:$S$21,ProposedLoans!$D$6:$D$21,$C$34,ProposedLoans!$Z$6:$Z$21,"*Aug*",ProposedLoans!$M$6:$M$21,ProposedLoansWkst!L$2)</f>
        <v>0</v>
      </c>
      <c r="M42" s="834">
        <f>SUMIFS(ProposedLoans!$F$6:$F$21,ProposedLoans!$D$6:$D$21,$C$34,ProposedLoans!$G$6:$G$21,"*Aug*")</f>
        <v>0</v>
      </c>
      <c r="O42" s="831" t="s">
        <v>11</v>
      </c>
      <c r="P42" s="834">
        <f>SUMIFS(ProposedLoans!$T$6:$T$21,ProposedLoans!$D$6:$D$21,$C$34,ProposedLoans!$Z$6:$Z$21,$C42,ProposedLoans!$M$6:$M$21,ProposedLoansWkst!I$2)</f>
        <v>0</v>
      </c>
      <c r="Q42" s="834">
        <f>SUMIFS(ProposedLoans!$T$6:$T$21,ProposedLoans!$D$6:$D$21,$C$34,ProposedLoans!$Z$6:$Z$21,"*Aug*",ProposedLoans!$M$6:$M$21,ProposedLoansWkst!Q$2)</f>
        <v>0</v>
      </c>
      <c r="R42" s="834">
        <f>SUMIFS(ProposedLoans!$T$6:$T$21,ProposedLoans!$D$6:$D$21,$C$34,ProposedLoans!$Z$6:$Z$21,"*Aug*",ProposedLoans!$M$6:$M$21,ProposedLoansWkst!R$2)</f>
        <v>0</v>
      </c>
      <c r="S42" s="834">
        <f>SUMIFS(ProposedLoans!$T$6:$T$21,ProposedLoans!$D$6:$D$21,$C$34,ProposedLoans!$Z$6:$Z$21,"*Aug*",ProposedLoans!$M$6:$M$21,ProposedLoansWkst!S$2)</f>
        <v>0</v>
      </c>
    </row>
    <row r="43" spans="2:19" x14ac:dyDescent="0.2">
      <c r="B43" s="835" t="s">
        <v>193</v>
      </c>
      <c r="C43" s="836" t="s">
        <v>12</v>
      </c>
      <c r="D43" s="837">
        <f>SUM(ProposedLoansWkst!$I43:$L43)+ProposedLoansWkst!$E43</f>
        <v>0</v>
      </c>
      <c r="E43" s="838">
        <f>SUM(ProposedLoansWkst!$P43:$S43)</f>
        <v>0</v>
      </c>
      <c r="F43" s="838">
        <f>SUM(ProposedLoansWkst!$M43)</f>
        <v>0</v>
      </c>
      <c r="H43" s="835" t="s">
        <v>12</v>
      </c>
      <c r="I43" s="837">
        <f>SUMIFS(ProposedLoans!$S$6:$S$21,ProposedLoans!$D$6:$D$21,$C$34,ProposedLoans!$Z$6:$Z$21,$C43,ProposedLoans!$M$6:$M$21,ProposedLoansWkst!I$2)</f>
        <v>0</v>
      </c>
      <c r="J43" s="838">
        <f>SUMIFS(ProposedLoans!$S$6:$S$21,ProposedLoans!$D$6:$D$21,$C$34,ProposedLoans!$Z$6:$Z$21,"*Sep*",ProposedLoans!$M$6:$M$21,ProposedLoansWkst!J$2)</f>
        <v>0</v>
      </c>
      <c r="K43" s="838">
        <f>SUMIFS(ProposedLoans!$S$6:$S$21,ProposedLoans!$D$6:$D$21,$C$34,ProposedLoans!$Z$6:$Z$21,"*Sep*",ProposedLoans!$M$6:$M$21,ProposedLoansWkst!K$2)</f>
        <v>0</v>
      </c>
      <c r="L43" s="838">
        <f>SUMIFS(ProposedLoans!$S$6:$S$21,ProposedLoans!$D$6:$D$21,$C$34,ProposedLoans!$Z$6:$Z$21,"*Sep*",ProposedLoans!$M$6:$M$21,ProposedLoansWkst!L$2)</f>
        <v>0</v>
      </c>
      <c r="M43" s="838">
        <f>SUMIFS(ProposedLoans!$F$6:$F$21,ProposedLoans!$D$6:$D$21,$C$34,ProposedLoans!$G$6:$G$21,"*Sep*")</f>
        <v>0</v>
      </c>
      <c r="O43" s="835" t="s">
        <v>12</v>
      </c>
      <c r="P43" s="838">
        <f>SUMIFS(ProposedLoans!$T$6:$T$21,ProposedLoans!$D$6:$D$21,$C$34,ProposedLoans!$Z$6:$Z$21,$C43,ProposedLoans!$M$6:$M$21,ProposedLoansWkst!I$2)</f>
        <v>0</v>
      </c>
      <c r="Q43" s="838">
        <f>SUMIFS(ProposedLoans!$T$6:$T$21,ProposedLoans!$D$6:$D$21,$C$34,ProposedLoans!$Z$6:$Z$21,"*Sep*",ProposedLoans!$M$6:$M$21,ProposedLoansWkst!Q$2)</f>
        <v>0</v>
      </c>
      <c r="R43" s="838">
        <f>SUMIFS(ProposedLoans!$T$6:$T$21,ProposedLoans!$D$6:$D$21,$C$34,ProposedLoans!$Z$6:$Z$21,"*Sep*",ProposedLoans!$M$6:$M$21,ProposedLoansWkst!R$2)</f>
        <v>0</v>
      </c>
      <c r="S43" s="838">
        <f>SUMIFS(ProposedLoans!$T$6:$T$21,ProposedLoans!$D$6:$D$21,$C$34,ProposedLoans!$Z$6:$Z$21,"*Sep*",ProposedLoans!$M$6:$M$21,ProposedLoansWkst!S$2)</f>
        <v>0</v>
      </c>
    </row>
    <row r="44" spans="2:19" x14ac:dyDescent="0.2">
      <c r="B44" s="831" t="s">
        <v>194</v>
      </c>
      <c r="C44" s="839" t="s">
        <v>13</v>
      </c>
      <c r="D44" s="833">
        <f>SUM(ProposedLoansWkst!$I44:$L44)+ProposedLoansWkst!$E44</f>
        <v>0</v>
      </c>
      <c r="E44" s="834">
        <f>SUM(ProposedLoansWkst!$P44:$S44)</f>
        <v>0</v>
      </c>
      <c r="F44" s="834">
        <f>SUM(ProposedLoansWkst!$M44)</f>
        <v>0</v>
      </c>
      <c r="H44" s="831" t="s">
        <v>13</v>
      </c>
      <c r="I44" s="833">
        <f>SUMIFS(ProposedLoans!$S$6:$S$21,ProposedLoans!$D$6:$D$21,$C$34,ProposedLoans!$Z$6:$Z$21,$C44,ProposedLoans!$M$6:$M$21,ProposedLoansWkst!I$2)</f>
        <v>0</v>
      </c>
      <c r="J44" s="834">
        <f>SUMIFS(ProposedLoans!$S$6:$S$21,ProposedLoans!$D$6:$D$21,$C$34,ProposedLoans!$Z$6:$Z$21,"*Oct*",ProposedLoans!$M$6:$M$21,ProposedLoansWkst!J$2)</f>
        <v>0</v>
      </c>
      <c r="K44" s="834">
        <f>SUMIFS(ProposedLoans!$S$6:$S$21,ProposedLoans!$D$6:$D$21,$C$34,ProposedLoans!$Z$6:$Z$21,"*Oct*",ProposedLoans!$M$6:$M$21,ProposedLoansWkst!K$2)</f>
        <v>0</v>
      </c>
      <c r="L44" s="834">
        <f>SUMIFS(ProposedLoans!$S$6:$S$21,ProposedLoans!$D$6:$D$21,$C$34,ProposedLoans!$Z$6:$Z$21,"*Oct*",ProposedLoans!$M$6:$M$21,ProposedLoansWkst!L$2)</f>
        <v>0</v>
      </c>
      <c r="M44" s="834">
        <f>SUMIFS(ProposedLoans!$F$6:$F$21,ProposedLoans!$D$6:$D$21,$C$34,ProposedLoans!$G$6:$G$21,"*Oct*")</f>
        <v>0</v>
      </c>
      <c r="O44" s="831" t="s">
        <v>13</v>
      </c>
      <c r="P44" s="834">
        <f>SUMIFS(ProposedLoans!$T$6:$T$21,ProposedLoans!$D$6:$D$21,$C$34,ProposedLoans!$Z$6:$Z$21,$C44,ProposedLoans!$M$6:$M$21,ProposedLoansWkst!I$2)</f>
        <v>0</v>
      </c>
      <c r="Q44" s="834">
        <f>SUMIFS(ProposedLoans!$T$6:$T$21,ProposedLoans!$D$6:$D$21,$C$34,ProposedLoans!$Z$6:$Z$21,"*Oct*",ProposedLoans!$M$6:$M$21,ProposedLoansWkst!Q$2)</f>
        <v>0</v>
      </c>
      <c r="R44" s="834">
        <f>SUMIFS(ProposedLoans!$T$6:$T$21,ProposedLoans!$D$6:$D$21,$C$34,ProposedLoans!$Z$6:$Z$21,"*Oct*",ProposedLoans!$M$6:$M$21,ProposedLoansWkst!R$2)</f>
        <v>0</v>
      </c>
      <c r="S44" s="834">
        <f>SUMIFS(ProposedLoans!$T$6:$T$21,ProposedLoans!$D$6:$D$21,$C$34,ProposedLoans!$Z$6:$Z$21,"*Oct*",ProposedLoans!$M$6:$M$21,ProposedLoansWkst!S$2)</f>
        <v>0</v>
      </c>
    </row>
    <row r="45" spans="2:19" x14ac:dyDescent="0.2">
      <c r="B45" s="835" t="s">
        <v>195</v>
      </c>
      <c r="C45" s="836" t="s">
        <v>14</v>
      </c>
      <c r="D45" s="837">
        <f>SUM(ProposedLoansWkst!$I45:$L45)+ProposedLoansWkst!$E45</f>
        <v>0</v>
      </c>
      <c r="E45" s="838">
        <f>SUM(ProposedLoansWkst!$P45:$S45)</f>
        <v>0</v>
      </c>
      <c r="F45" s="838">
        <f>SUM(ProposedLoansWkst!$M45)</f>
        <v>0</v>
      </c>
      <c r="H45" s="835" t="s">
        <v>14</v>
      </c>
      <c r="I45" s="837">
        <f>SUMIFS(ProposedLoans!$S$6:$S$21,ProposedLoans!$D$6:$D$21,$C$34,ProposedLoans!$Z$6:$Z$21,$C45,ProposedLoans!$M$6:$M$21,ProposedLoansWkst!I$2)</f>
        <v>0</v>
      </c>
      <c r="J45" s="838">
        <f>SUMIFS(ProposedLoans!$S$6:$S$21,ProposedLoans!$D$6:$D$21,$C$34,ProposedLoans!$Z$6:$Z$21,"*Nov*",ProposedLoans!$M$6:$M$21,ProposedLoansWkst!J$2)</f>
        <v>0</v>
      </c>
      <c r="K45" s="838">
        <f>SUMIFS(ProposedLoans!$S$6:$S$21,ProposedLoans!$D$6:$D$21,$C$34,ProposedLoans!$Z$6:$Z$21,"*Nov*",ProposedLoans!$M$6:$M$21,ProposedLoansWkst!K$2)</f>
        <v>0</v>
      </c>
      <c r="L45" s="838">
        <f>SUMIFS(ProposedLoans!$S$6:$S$21,ProposedLoans!$D$6:$D$21,$C$34,ProposedLoans!$Z$6:$Z$21,"*Nov*",ProposedLoans!$M$6:$M$21,ProposedLoansWkst!L$2)</f>
        <v>0</v>
      </c>
      <c r="M45" s="838">
        <f>SUMIFS(ProposedLoans!$F$6:$F$21,ProposedLoans!$D$6:$D$21,$C$34,ProposedLoans!$G$6:$G$21,"*Nov*")</f>
        <v>0</v>
      </c>
      <c r="O45" s="835" t="s">
        <v>14</v>
      </c>
      <c r="P45" s="838">
        <f>SUMIFS(ProposedLoans!$T$6:$T$21,ProposedLoans!$D$6:$D$21,$C$34,ProposedLoans!$Z$6:$Z$21,$C45,ProposedLoans!$M$6:$M$21,ProposedLoansWkst!I$2)</f>
        <v>0</v>
      </c>
      <c r="Q45" s="838">
        <f>SUMIFS(ProposedLoans!$T$6:$T$21,ProposedLoans!$D$6:$D$21,$C$34,ProposedLoans!$Z$6:$Z$21,"*Nov*",ProposedLoans!$M$6:$M$21,ProposedLoansWkst!Q$2)</f>
        <v>0</v>
      </c>
      <c r="R45" s="838">
        <f>SUMIFS(ProposedLoans!$T$6:$T$21,ProposedLoans!$D$6:$D$21,$C$34,ProposedLoans!$Z$6:$Z$21,"*Nov*",ProposedLoans!$M$6:$M$21,ProposedLoansWkst!R$2)</f>
        <v>0</v>
      </c>
      <c r="S45" s="838">
        <f>SUMIFS(ProposedLoans!$T$6:$T$21,ProposedLoans!$D$6:$D$21,$C$34,ProposedLoans!$Z$6:$Z$21,"*Nov*",ProposedLoans!$M$6:$M$21,ProposedLoansWkst!S$2)</f>
        <v>0</v>
      </c>
    </row>
    <row r="46" spans="2:19" ht="13.5" thickBot="1" x14ac:dyDescent="0.25">
      <c r="B46" s="831" t="s">
        <v>196</v>
      </c>
      <c r="C46" s="839" t="s">
        <v>15</v>
      </c>
      <c r="D46" s="833">
        <f>SUM(ProposedLoansWkst!$I46:$L46)+ProposedLoansWkst!$E46</f>
        <v>0</v>
      </c>
      <c r="E46" s="834">
        <f>SUM(ProposedLoansWkst!$P46:$S46)</f>
        <v>0</v>
      </c>
      <c r="F46" s="834">
        <f>SUM(ProposedLoansWkst!$M46)</f>
        <v>0</v>
      </c>
      <c r="H46" s="831" t="s">
        <v>15</v>
      </c>
      <c r="I46" s="833">
        <f>SUMIFS(ProposedLoans!$S$6:$S$21,ProposedLoans!$D$6:$D$21,$C$34,ProposedLoans!$Z$6:$Z$21,$C46,ProposedLoans!$M$6:$M$21,ProposedLoansWkst!I$2)</f>
        <v>0</v>
      </c>
      <c r="J46" s="834">
        <f>SUMIFS(ProposedLoans!$S$6:$S$21,ProposedLoans!$D$6:$D$21,$C$34,ProposedLoans!$Z$6:$Z$21,"*Dec*",ProposedLoans!$M$6:$M$21,ProposedLoansWkst!J$2)</f>
        <v>0</v>
      </c>
      <c r="K46" s="834">
        <f>SUMIFS(ProposedLoans!$S$6:$S$21,ProposedLoans!$D$6:$D$21,$C$34,ProposedLoans!$Z$6:$Z$21,"*Dec*",ProposedLoans!$M$6:$M$21,ProposedLoansWkst!K$2)</f>
        <v>0</v>
      </c>
      <c r="L46" s="834">
        <f>SUMIFS(ProposedLoans!$S$6:$S$21,ProposedLoans!$D$6:$D$21,$C$34,ProposedLoans!$Z$6:$Z$21,"*Dec*",ProposedLoans!$M$6:$M$21,ProposedLoansWkst!L$2)</f>
        <v>0</v>
      </c>
      <c r="M46" s="834">
        <f>SUMIFS(ProposedLoans!$F$6:$F$21,ProposedLoans!$D$6:$D$21,$C$34,ProposedLoans!$G$6:$G$21,"*Dec*")</f>
        <v>0</v>
      </c>
      <c r="O46" s="831" t="s">
        <v>15</v>
      </c>
      <c r="P46" s="834">
        <f>SUMIFS(ProposedLoans!$T$6:$T$21,ProposedLoans!$D$6:$D$21,$C$34,ProposedLoans!$Z$6:$Z$21,$C46,ProposedLoans!$M$6:$M$21,ProposedLoansWkst!I$2)</f>
        <v>0</v>
      </c>
      <c r="Q46" s="834">
        <f>SUMIFS(ProposedLoans!$T$6:$T$21,ProposedLoans!$D$6:$D$21,$C$34,ProposedLoans!$Z$6:$Z$21,"*Dec*",ProposedLoans!$M$6:$M$21,ProposedLoansWkst!Q$2)</f>
        <v>0</v>
      </c>
      <c r="R46" s="834">
        <f>SUMIFS(ProposedLoans!$T$6:$T$21,ProposedLoans!$D$6:$D$21,$C$34,ProposedLoans!$Z$6:$Z$21,"*Dec*",ProposedLoans!$M$6:$M$21,ProposedLoansWkst!R$2)</f>
        <v>0</v>
      </c>
      <c r="S46" s="834">
        <f>SUMIFS(ProposedLoans!$T$6:$T$21,ProposedLoans!$D$6:$D$21,$C$34,ProposedLoans!$Z$6:$Z$21,"*Dec*",ProposedLoans!$M$6:$M$21,ProposedLoansWkst!S$2)</f>
        <v>0</v>
      </c>
    </row>
    <row r="47" spans="2:19" ht="13.5" thickTop="1" x14ac:dyDescent="0.2">
      <c r="B47" s="840"/>
      <c r="C47" s="841"/>
      <c r="D47" s="842">
        <f>SUM(ProposedLoansWkst!$D$35:$D$46)</f>
        <v>0</v>
      </c>
      <c r="E47" s="824">
        <f>SUM(ProposedLoansWkst!$E$35:$E$46)</f>
        <v>0</v>
      </c>
      <c r="F47" s="823">
        <f>SUM(ProposedLoansWkst!$F$35:$F$46)</f>
        <v>0</v>
      </c>
      <c r="H47" s="845"/>
      <c r="I47" s="823">
        <f>SUM(ProposedLoansWkst!$I$35:$I$46)</f>
        <v>0</v>
      </c>
      <c r="J47" s="823">
        <f>SUM(ProposedLoansWkst!$J$35:$J$46)</f>
        <v>0</v>
      </c>
      <c r="K47" s="823">
        <f>SUM(ProposedLoansWkst!$K$35:$K$46)</f>
        <v>0</v>
      </c>
      <c r="L47" s="823">
        <f>SUM(ProposedLoansWkst!$L$35:$L$46)</f>
        <v>0</v>
      </c>
      <c r="M47" s="823">
        <f>SUM(ProposedLoansWkst!$M$35:$M$46)</f>
        <v>0</v>
      </c>
      <c r="O47" s="845"/>
      <c r="P47" s="823">
        <f>SUM(ProposedLoansWkst!$P$35:$P$46)</f>
        <v>0</v>
      </c>
      <c r="Q47" s="823">
        <f>SUM(ProposedLoansWkst!$Q$35:$Q$46)</f>
        <v>0</v>
      </c>
      <c r="R47" s="823">
        <f>SUM(ProposedLoansWkst!$R$35:$R$46)</f>
        <v>0</v>
      </c>
      <c r="S47" s="823">
        <f>SUM(ProposedLoansWkst!$S$35:$S$46)</f>
        <v>0</v>
      </c>
    </row>
    <row r="50" spans="2:19" ht="13.5" thickBot="1" x14ac:dyDescent="0.25">
      <c r="B50" s="825" t="s">
        <v>126</v>
      </c>
      <c r="C50" s="826" t="s">
        <v>237</v>
      </c>
      <c r="D50" s="826" t="s">
        <v>179</v>
      </c>
      <c r="E50" s="826" t="s">
        <v>180</v>
      </c>
      <c r="F50" s="826" t="s">
        <v>213</v>
      </c>
      <c r="H50" s="825" t="s">
        <v>200</v>
      </c>
      <c r="I50" s="826" t="s">
        <v>105</v>
      </c>
      <c r="J50" s="826" t="s">
        <v>103</v>
      </c>
      <c r="K50" s="826" t="s">
        <v>101</v>
      </c>
      <c r="L50" s="826" t="s">
        <v>100</v>
      </c>
      <c r="M50" s="826" t="s">
        <v>213</v>
      </c>
      <c r="N50" s="57"/>
      <c r="O50" s="825" t="s">
        <v>200</v>
      </c>
      <c r="P50" s="846" t="s">
        <v>105</v>
      </c>
      <c r="Q50" s="846" t="s">
        <v>103</v>
      </c>
      <c r="R50" s="846" t="s">
        <v>101</v>
      </c>
      <c r="S50" s="846" t="s">
        <v>100</v>
      </c>
    </row>
    <row r="51" spans="2:19" ht="13.5" thickTop="1" x14ac:dyDescent="0.2">
      <c r="B51" s="827" t="s">
        <v>186</v>
      </c>
      <c r="C51" s="828" t="s">
        <v>5</v>
      </c>
      <c r="D51" s="829">
        <f>SUM(ProposedLoansWkst!$I51:$L51)+ProposedLoansWkst!$E51</f>
        <v>0</v>
      </c>
      <c r="E51" s="830">
        <f>SUM(ProposedLoansWkst!$P51:$S51)</f>
        <v>0</v>
      </c>
      <c r="F51" s="830">
        <f>SUM(ProposedLoansWkst!$M51)</f>
        <v>0</v>
      </c>
      <c r="H51" s="843" t="s">
        <v>5</v>
      </c>
      <c r="I51" s="829">
        <f>SUMIFS(ProposedLoans!$S$6:$S$21,ProposedLoans!$D$6:$D$21,$C$50,ProposedLoans!$Z$6:$Z$21,$C51,ProposedLoans!$M$6:$M$21,ProposedLoansWkst!I$2)</f>
        <v>0</v>
      </c>
      <c r="J51" s="830">
        <f>SUMIFS(ProposedLoans!$S$6:$S$21,ProposedLoans!$D$6:$D$21,$C$50,ProposedLoans!$Z$6:$Z$21,"*Jan*",ProposedLoans!$M$6:$M$21,ProposedLoansWkst!J$2)</f>
        <v>0</v>
      </c>
      <c r="K51" s="830">
        <f>SUMIFS(ProposedLoans!$S$6:$S$21,ProposedLoans!$D$6:$D$21,$C$50,ProposedLoans!$Z$6:$Z$21,"*Jan*",ProposedLoans!$M$6:$M$21,ProposedLoansWkst!K$2)</f>
        <v>0</v>
      </c>
      <c r="L51" s="830">
        <f>SUMIFS(ProposedLoans!$S$6:$S$21,ProposedLoans!$D$6:$D$21,$C$50,ProposedLoans!$Z$6:$Z$21,"*Jan*",ProposedLoans!$M$6:$M$21,ProposedLoansWkst!L$2)</f>
        <v>0</v>
      </c>
      <c r="M51" s="830">
        <f>SUMIFS(ProposedLoans!$F$6:$F$21,ProposedLoans!$D$6:$D$21,$C$50,ProposedLoans!$G$6:$G$21,"*Jan*")</f>
        <v>0</v>
      </c>
      <c r="O51" s="843" t="s">
        <v>5</v>
      </c>
      <c r="P51" s="830">
        <f>SUMIFS(ProposedLoans!$T$6:$T$21,ProposedLoans!$D$6:$D$21,$C$50,ProposedLoans!$Z$6:$Z$21,$C51,ProposedLoans!$M$6:$M$21,ProposedLoansWkst!I$2)</f>
        <v>0</v>
      </c>
      <c r="Q51" s="830">
        <f>SUMIFS(ProposedLoans!$T$6:$T$21,ProposedLoans!$D$6:$D$21,$C$50,ProposedLoans!$Z$6:$Z$21,"*Jan*",ProposedLoans!$M$6:$M$21,ProposedLoansWkst!Q$2)</f>
        <v>0</v>
      </c>
      <c r="R51" s="830">
        <f>SUMIFS(ProposedLoans!$T$6:$T$21,ProposedLoans!$D$6:$D$21,$C$50,ProposedLoans!$Z$6:$Z$21,"*Jan*",ProposedLoans!$M$6:$M$21,ProposedLoansWkst!R$2)</f>
        <v>0</v>
      </c>
      <c r="S51" s="830">
        <f>SUMIFS(ProposedLoans!$T$6:$T$21,ProposedLoans!$D$6:$D$21,$C$50,ProposedLoans!$Z$6:$Z$21,"*Jan*",ProposedLoans!$M$6:$M$21,ProposedLoansWkst!S$2)</f>
        <v>0</v>
      </c>
    </row>
    <row r="52" spans="2:19" x14ac:dyDescent="0.2">
      <c r="B52" s="831" t="s">
        <v>187</v>
      </c>
      <c r="C52" s="832" t="s">
        <v>6</v>
      </c>
      <c r="D52" s="833">
        <f>SUM(ProposedLoansWkst!$I52:$L52)+ProposedLoansWkst!$E52</f>
        <v>0</v>
      </c>
      <c r="E52" s="834">
        <f>SUM(ProposedLoansWkst!$P52:$S52)</f>
        <v>0</v>
      </c>
      <c r="F52" s="834">
        <f>SUM(ProposedLoansWkst!$M52)</f>
        <v>0</v>
      </c>
      <c r="H52" s="844" t="s">
        <v>6</v>
      </c>
      <c r="I52" s="833">
        <f>SUMIFS(ProposedLoans!$S$6:$S$21,ProposedLoans!$D$6:$D$21,$C$50,ProposedLoans!$Z$6:$Z$21,$C52,ProposedLoans!$M$6:$M$21,ProposedLoansWkst!I$2)</f>
        <v>0</v>
      </c>
      <c r="J52" s="834">
        <f>SUMIFS(ProposedLoans!$S$6:$S$21,ProposedLoans!$D$6:$D$21,$C$50,ProposedLoans!$Z$6:$Z$21,"*Feb*",ProposedLoans!$M$6:$M$21,ProposedLoansWkst!J$2)</f>
        <v>0</v>
      </c>
      <c r="K52" s="834">
        <f>SUMIFS(ProposedLoans!$S$6:$S$21,ProposedLoans!$D$6:$D$21,$C$50,ProposedLoans!$Z$6:$Z$21,"*Feb*",ProposedLoans!$M$6:$M$21,ProposedLoansWkst!K$2)</f>
        <v>0</v>
      </c>
      <c r="L52" s="834">
        <f>SUMIFS(ProposedLoans!$S$6:$S$21,ProposedLoans!$D$6:$D$21,$C$50,ProposedLoans!$Z$6:$Z$21,"*Feb*",ProposedLoans!$M$6:$M$21,ProposedLoansWkst!L$2)</f>
        <v>0</v>
      </c>
      <c r="M52" s="834">
        <f>SUMIFS(ProposedLoans!$F$6:$F$21,ProposedLoans!$D$6:$D$21,$C$50,ProposedLoans!$G$6:$G$21,"*Feb*")</f>
        <v>0</v>
      </c>
      <c r="O52" s="844" t="s">
        <v>6</v>
      </c>
      <c r="P52" s="834">
        <f>SUMIFS(ProposedLoans!$T$6:$T$21,ProposedLoans!$D$6:$D$21,$C$50,ProposedLoans!$Z$6:$Z$21,$C52,ProposedLoans!$M$6:$M$21,ProposedLoansWkst!I$2)</f>
        <v>0</v>
      </c>
      <c r="Q52" s="834">
        <f>SUMIFS(ProposedLoans!$T$6:$T$21,ProposedLoans!$D$6:$D$21,$C$50,ProposedLoans!$Z$6:$Z$21,"*Feb*",ProposedLoans!$M$6:$M$21,ProposedLoansWkst!Q$2)</f>
        <v>0</v>
      </c>
      <c r="R52" s="834">
        <f>SUMIFS(ProposedLoans!$T$6:$T$21,ProposedLoans!$D$6:$D$21,$C$50,ProposedLoans!$Z$6:$Z$21,"*Feb*",ProposedLoans!$M$6:$M$21,ProposedLoansWkst!R$2)</f>
        <v>0</v>
      </c>
      <c r="S52" s="834">
        <f>SUMIFS(ProposedLoans!$T$6:$T$21,ProposedLoans!$D$6:$D$21,$C$50,ProposedLoans!$Z$6:$Z$21,"*Feb*",ProposedLoans!$M$6:$M$21,ProposedLoansWkst!S$2)</f>
        <v>0</v>
      </c>
    </row>
    <row r="53" spans="2:19" x14ac:dyDescent="0.2">
      <c r="B53" s="835" t="s">
        <v>188</v>
      </c>
      <c r="C53" s="836" t="s">
        <v>7</v>
      </c>
      <c r="D53" s="837">
        <f>SUM(ProposedLoansWkst!$I53:$L53)+ProposedLoansWkst!$E53</f>
        <v>0</v>
      </c>
      <c r="E53" s="838">
        <f>SUM(ProposedLoansWkst!$P53:$S53)</f>
        <v>0</v>
      </c>
      <c r="F53" s="838">
        <f>SUM(ProposedLoansWkst!$M53)</f>
        <v>0</v>
      </c>
      <c r="H53" s="835" t="s">
        <v>7</v>
      </c>
      <c r="I53" s="837">
        <f>SUMIFS(ProposedLoans!$S$6:$S$21,ProposedLoans!$D$6:$D$21,$C$50,ProposedLoans!$Z$6:$Z$21,$C53,ProposedLoans!$M$6:$M$21,ProposedLoansWkst!I$2)</f>
        <v>0</v>
      </c>
      <c r="J53" s="838">
        <f>SUMIFS(ProposedLoans!$S$6:$S$21,ProposedLoans!$D$6:$D$21,$C$50,ProposedLoans!$Z$6:$Z$21,"*Mar*",ProposedLoans!$M$6:$M$21,ProposedLoansWkst!J$2)</f>
        <v>0</v>
      </c>
      <c r="K53" s="838">
        <f>SUMIFS(ProposedLoans!$S$6:$S$21,ProposedLoans!$D$6:$D$21,$C$50,ProposedLoans!$Z$6:$Z$21,"*Mar*",ProposedLoans!$M$6:$M$21,ProposedLoansWkst!K$2)</f>
        <v>0</v>
      </c>
      <c r="L53" s="838">
        <f>SUMIFS(ProposedLoans!$S$6:$S$21,ProposedLoans!$D$6:$D$21,$C$50,ProposedLoans!$Z$6:$Z$21,"*Mar*",ProposedLoans!$M$6:$M$21,ProposedLoansWkst!L$2)</f>
        <v>0</v>
      </c>
      <c r="M53" s="838">
        <f>SUMIFS(ProposedLoans!$F$6:$F$21,ProposedLoans!$D$6:$D$21,$C$50,ProposedLoans!$G$6:$G$21,"*Mar*")</f>
        <v>0</v>
      </c>
      <c r="O53" s="835" t="s">
        <v>7</v>
      </c>
      <c r="P53" s="838">
        <f>SUMIFS(ProposedLoans!$T$6:$T$21,ProposedLoans!$D$6:$D$21,$C$50,ProposedLoans!$Z$6:$Z$21,$C53,ProposedLoans!$M$6:$M$21,ProposedLoansWkst!I$2)</f>
        <v>0</v>
      </c>
      <c r="Q53" s="838">
        <f>SUMIFS(ProposedLoans!$T$6:$T$21,ProposedLoans!$D$6:$D$21,$C$50,ProposedLoans!$Z$6:$Z$21,"*Mar*",ProposedLoans!$M$6:$M$21,ProposedLoansWkst!Q$2)</f>
        <v>0</v>
      </c>
      <c r="R53" s="838">
        <f>SUMIFS(ProposedLoans!$T$6:$T$21,ProposedLoans!$D$6:$D$21,$C$50,ProposedLoans!$Z$6:$Z$21,"*Mar*",ProposedLoans!$M$6:$M$21,ProposedLoansWkst!R$2)</f>
        <v>0</v>
      </c>
      <c r="S53" s="838">
        <f>SUMIFS(ProposedLoans!$T$6:$T$21,ProposedLoans!$D$6:$D$21,$C$50,ProposedLoans!$Z$6:$Z$21,"*Mar*",ProposedLoans!$M$6:$M$21,ProposedLoansWkst!S$2)</f>
        <v>0</v>
      </c>
    </row>
    <row r="54" spans="2:19" x14ac:dyDescent="0.2">
      <c r="B54" s="831" t="s">
        <v>189</v>
      </c>
      <c r="C54" s="839" t="s">
        <v>8</v>
      </c>
      <c r="D54" s="833">
        <f>SUM(ProposedLoansWkst!$I54:$L54)+ProposedLoansWkst!$E54</f>
        <v>0</v>
      </c>
      <c r="E54" s="834">
        <f>SUM(ProposedLoansWkst!$P54:$S54)</f>
        <v>0</v>
      </c>
      <c r="F54" s="834">
        <f>SUM(ProposedLoansWkst!$M54)</f>
        <v>0</v>
      </c>
      <c r="H54" s="831" t="s">
        <v>8</v>
      </c>
      <c r="I54" s="833">
        <f>SUMIFS(ProposedLoans!$S$6:$S$21,ProposedLoans!$D$6:$D$21,$C$50,ProposedLoans!$Z$6:$Z$21,$C54,ProposedLoans!$M$6:$M$21,ProposedLoansWkst!I$2)</f>
        <v>0</v>
      </c>
      <c r="J54" s="834">
        <f>SUMIFS(ProposedLoans!$S$6:$S$21,ProposedLoans!$D$6:$D$21,$C$50,ProposedLoans!$Z$6:$Z$21,"*Apr*",ProposedLoans!$M$6:$M$21,ProposedLoansWkst!J$2)</f>
        <v>0</v>
      </c>
      <c r="K54" s="834">
        <f>SUMIFS(ProposedLoans!$S$6:$S$21,ProposedLoans!$D$6:$D$21,$C$50,ProposedLoans!$Z$6:$Z$21,"*Apr*",ProposedLoans!$M$6:$M$21,ProposedLoansWkst!K$2)</f>
        <v>0</v>
      </c>
      <c r="L54" s="834">
        <f>SUMIFS(ProposedLoans!$S$6:$S$21,ProposedLoans!$D$6:$D$21,$C$50,ProposedLoans!$Z$6:$Z$21,"*Apr*",ProposedLoans!$M$6:$M$21,ProposedLoansWkst!L$2)</f>
        <v>0</v>
      </c>
      <c r="M54" s="834">
        <f>SUMIFS(ProposedLoans!$F$6:$F$21,ProposedLoans!$D$6:$D$21,$C$50,ProposedLoans!$G$6:$G$21,"*Apr*")</f>
        <v>0</v>
      </c>
      <c r="O54" s="831" t="s">
        <v>8</v>
      </c>
      <c r="P54" s="834">
        <f>SUMIFS(ProposedLoans!$T$6:$T$21,ProposedLoans!$D$6:$D$21,$C$50,ProposedLoans!$Z$6:$Z$21,$C54,ProposedLoans!$M$6:$M$21,ProposedLoansWkst!I$2)</f>
        <v>0</v>
      </c>
      <c r="Q54" s="834">
        <f>SUMIFS(ProposedLoans!$T$6:$T$21,ProposedLoans!$D$6:$D$21,$C$50,ProposedLoans!$Z$6:$Z$21,"*Apr*",ProposedLoans!$M$6:$M$21,ProposedLoansWkst!Q$2)</f>
        <v>0</v>
      </c>
      <c r="R54" s="834">
        <f>SUMIFS(ProposedLoans!$T$6:$T$21,ProposedLoans!$D$6:$D$21,$C$50,ProposedLoans!$Z$6:$Z$21,"*Apr*",ProposedLoans!$M$6:$M$21,ProposedLoansWkst!R$2)</f>
        <v>0</v>
      </c>
      <c r="S54" s="834">
        <f>SUMIFS(ProposedLoans!$T$6:$T$21,ProposedLoans!$D$6:$D$21,$C$50,ProposedLoans!$Z$6:$Z$21,"*Apr*",ProposedLoans!$M$6:$M$21,ProposedLoansWkst!S$2)</f>
        <v>0</v>
      </c>
    </row>
    <row r="55" spans="2:19" x14ac:dyDescent="0.2">
      <c r="B55" s="835" t="s">
        <v>4</v>
      </c>
      <c r="C55" s="836" t="s">
        <v>4</v>
      </c>
      <c r="D55" s="837">
        <f>SUM(ProposedLoansWkst!$I55:$L55)+ProposedLoansWkst!$E55</f>
        <v>0</v>
      </c>
      <c r="E55" s="838">
        <f>SUM(ProposedLoansWkst!$P55:$S55)</f>
        <v>0</v>
      </c>
      <c r="F55" s="838">
        <f>SUM(ProposedLoansWkst!$M55)</f>
        <v>0</v>
      </c>
      <c r="H55" s="835" t="s">
        <v>4</v>
      </c>
      <c r="I55" s="837">
        <f>SUMIFS(ProposedLoans!$S$6:$S$21,ProposedLoans!$D$6:$D$21,$C$50,ProposedLoans!$Z$6:$Z$21,$C55,ProposedLoans!$M$6:$M$21,ProposedLoansWkst!I$2)</f>
        <v>0</v>
      </c>
      <c r="J55" s="838">
        <f>SUMIFS(ProposedLoans!$S$6:$S$21,ProposedLoans!$D$6:$D$21,$C$50,ProposedLoans!$Z$6:$Z$21,"*May*",ProposedLoans!$M$6:$M$21,ProposedLoansWkst!J$2)</f>
        <v>0</v>
      </c>
      <c r="K55" s="838">
        <f>SUMIFS(ProposedLoans!$S$6:$S$21,ProposedLoans!$D$6:$D$21,$C$50,ProposedLoans!$Z$6:$Z$21,"*May*",ProposedLoans!$M$6:$M$21,ProposedLoansWkst!K$2)</f>
        <v>0</v>
      </c>
      <c r="L55" s="838">
        <f>SUMIFS(ProposedLoans!$S$6:$S$21,ProposedLoans!$D$6:$D$21,$C$50,ProposedLoans!$Z$6:$Z$21,"*May*",ProposedLoans!$M$6:$M$21,ProposedLoansWkst!L$2)</f>
        <v>0</v>
      </c>
      <c r="M55" s="838">
        <f>SUMIFS(ProposedLoans!$F$6:$F$21,ProposedLoans!$D$6:$D$21,$C$50,ProposedLoans!$G$6:$G$21,"*May*")</f>
        <v>0</v>
      </c>
      <c r="O55" s="835" t="s">
        <v>4</v>
      </c>
      <c r="P55" s="838">
        <f>SUMIFS(ProposedLoans!$T$6:$T$21,ProposedLoans!$D$6:$D$21,$C$50,ProposedLoans!$Z$6:$Z$21,$C55,ProposedLoans!$M$6:$M$21,ProposedLoansWkst!I$2)</f>
        <v>0</v>
      </c>
      <c r="Q55" s="838">
        <f>SUMIFS(ProposedLoans!$T$6:$T$21,ProposedLoans!$D$6:$D$21,$C$50,ProposedLoans!$Z$6:$Z$21,"*May*",ProposedLoans!$M$6:$M$21,ProposedLoansWkst!Q$2)</f>
        <v>0</v>
      </c>
      <c r="R55" s="838">
        <f>SUMIFS(ProposedLoans!$T$6:$T$21,ProposedLoans!$D$6:$D$21,$C$50,ProposedLoans!$Z$6:$Z$21,"*May*",ProposedLoans!$M$6:$M$21,ProposedLoansWkst!R$2)</f>
        <v>0</v>
      </c>
      <c r="S55" s="838">
        <f>SUMIFS(ProposedLoans!$T$6:$T$21,ProposedLoans!$D$6:$D$21,$C$50,ProposedLoans!$Z$6:$Z$21,"*May*",ProposedLoans!$M$6:$M$21,ProposedLoansWkst!S$2)</f>
        <v>0</v>
      </c>
    </row>
    <row r="56" spans="2:19" x14ac:dyDescent="0.2">
      <c r="B56" s="831" t="s">
        <v>190</v>
      </c>
      <c r="C56" s="839" t="s">
        <v>9</v>
      </c>
      <c r="D56" s="833">
        <f>SUM(ProposedLoansWkst!$I56:$L56)+ProposedLoansWkst!$E56</f>
        <v>0</v>
      </c>
      <c r="E56" s="834">
        <f>SUM(ProposedLoansWkst!$P56:$S56)</f>
        <v>0</v>
      </c>
      <c r="F56" s="834">
        <f>SUM(ProposedLoansWkst!$M56)</f>
        <v>0</v>
      </c>
      <c r="H56" s="831" t="s">
        <v>9</v>
      </c>
      <c r="I56" s="833">
        <f>SUMIFS(ProposedLoans!$S$6:$S$21,ProposedLoans!$D$6:$D$21,$C$50,ProposedLoans!$Z$6:$Z$21,$C56,ProposedLoans!$M$6:$M$21,ProposedLoansWkst!I$2)</f>
        <v>0</v>
      </c>
      <c r="J56" s="834">
        <f>SUMIFS(ProposedLoans!$S$6:$S$21,ProposedLoans!$D$6:$D$21,$C$50,ProposedLoans!$Z$6:$Z$21,"*Jun*",ProposedLoans!$M$6:$M$21,ProposedLoansWkst!J$2)</f>
        <v>0</v>
      </c>
      <c r="K56" s="834">
        <f>SUMIFS(ProposedLoans!$S$6:$S$21,ProposedLoans!$D$6:$D$21,$C$50,ProposedLoans!$Z$6:$Z$21,"*Jun*",ProposedLoans!$M$6:$M$21,ProposedLoansWkst!K$2)</f>
        <v>0</v>
      </c>
      <c r="L56" s="834">
        <f>SUMIFS(ProposedLoans!$S$6:$S$21,ProposedLoans!$D$6:$D$21,$C$50,ProposedLoans!$Z$6:$Z$21,"*Jun*",ProposedLoans!$M$6:$M$21,ProposedLoansWkst!L$2)</f>
        <v>0</v>
      </c>
      <c r="M56" s="834">
        <f>SUMIFS(ProposedLoans!$F$6:$F$21,ProposedLoans!$D$6:$D$21,$C$50,ProposedLoans!$G$6:$G$21,"*Jun*")</f>
        <v>0</v>
      </c>
      <c r="O56" s="831" t="s">
        <v>9</v>
      </c>
      <c r="P56" s="834">
        <f>SUMIFS(ProposedLoans!$T$6:$T$21,ProposedLoans!$D$6:$D$21,$C$50,ProposedLoans!$Z$6:$Z$21,$C56,ProposedLoans!$M$6:$M$21,ProposedLoansWkst!I$2)</f>
        <v>0</v>
      </c>
      <c r="Q56" s="834">
        <f>SUMIFS(ProposedLoans!$T$6:$T$21,ProposedLoans!$D$6:$D$21,$C$50,ProposedLoans!$Z$6:$Z$21,"*Jun*",ProposedLoans!$M$6:$M$21,ProposedLoansWkst!Q$2)</f>
        <v>0</v>
      </c>
      <c r="R56" s="834">
        <f>SUMIFS(ProposedLoans!$T$6:$T$21,ProposedLoans!$D$6:$D$21,$C$50,ProposedLoans!$Z$6:$Z$21,"*Jun*",ProposedLoans!$M$6:$M$21,ProposedLoansWkst!R$2)</f>
        <v>0</v>
      </c>
      <c r="S56" s="834">
        <f>SUMIFS(ProposedLoans!$T$6:$T$21,ProposedLoans!$D$6:$D$21,$C$50,ProposedLoans!$Z$6:$Z$21,"*Jun*",ProposedLoans!$M$6:$M$21,ProposedLoansWkst!S$2)</f>
        <v>0</v>
      </c>
    </row>
    <row r="57" spans="2:19" x14ac:dyDescent="0.2">
      <c r="B57" s="835" t="s">
        <v>191</v>
      </c>
      <c r="C57" s="836" t="s">
        <v>10</v>
      </c>
      <c r="D57" s="837">
        <f>SUM(ProposedLoansWkst!$I57:$L57)+ProposedLoansWkst!$E57</f>
        <v>0</v>
      </c>
      <c r="E57" s="838">
        <f>SUM(ProposedLoansWkst!$P57:$S57)</f>
        <v>0</v>
      </c>
      <c r="F57" s="838">
        <f>SUM(ProposedLoansWkst!$M57)</f>
        <v>0</v>
      </c>
      <c r="H57" s="835" t="s">
        <v>10</v>
      </c>
      <c r="I57" s="837">
        <f>SUMIFS(ProposedLoans!$S$6:$S$21,ProposedLoans!$D$6:$D$21,$C$50,ProposedLoans!$Z$6:$Z$21,$C57,ProposedLoans!$M$6:$M$21,ProposedLoansWkst!I$2)</f>
        <v>0</v>
      </c>
      <c r="J57" s="838">
        <f>SUMIFS(ProposedLoans!$S$6:$S$21,ProposedLoans!$D$6:$D$21,$C$50,ProposedLoans!$Z$6:$Z$21,"*Jul*",ProposedLoans!$M$6:$M$21,ProposedLoansWkst!J$2)</f>
        <v>0</v>
      </c>
      <c r="K57" s="838">
        <f>SUMIFS(ProposedLoans!$S$6:$S$21,ProposedLoans!$D$6:$D$21,$C$50,ProposedLoans!$Z$6:$Z$21,"*Jul*",ProposedLoans!$M$6:$M$21,ProposedLoansWkst!K$2)</f>
        <v>0</v>
      </c>
      <c r="L57" s="838">
        <f>SUMIFS(ProposedLoans!$S$6:$S$21,ProposedLoans!$D$6:$D$21,$C$50,ProposedLoans!$Z$6:$Z$21,"*Jul*",ProposedLoans!$M$6:$M$21,ProposedLoansWkst!L$2)</f>
        <v>0</v>
      </c>
      <c r="M57" s="838">
        <f>SUMIFS(ProposedLoans!$F$6:$F$21,ProposedLoans!$D$6:$D$21,$C$50,ProposedLoans!$G$6:$G$21,"*Jul*")</f>
        <v>0</v>
      </c>
      <c r="O57" s="835" t="s">
        <v>10</v>
      </c>
      <c r="P57" s="838">
        <f>SUMIFS(ProposedLoans!$T$6:$T$21,ProposedLoans!$D$6:$D$21,$C$50,ProposedLoans!$Z$6:$Z$21,$C57,ProposedLoans!$M$6:$M$21,ProposedLoansWkst!I$2)</f>
        <v>0</v>
      </c>
      <c r="Q57" s="838">
        <f>SUMIFS(ProposedLoans!$T$6:$T$21,ProposedLoans!$D$6:$D$21,$C$50,ProposedLoans!$Z$6:$Z$21,"*Jul*",ProposedLoans!$M$6:$M$21,ProposedLoansWkst!Q$2)</f>
        <v>0</v>
      </c>
      <c r="R57" s="838">
        <f>SUMIFS(ProposedLoans!$T$6:$T$21,ProposedLoans!$D$6:$D$21,$C$50,ProposedLoans!$Z$6:$Z$21,"*Jul*",ProposedLoans!$M$6:$M$21,ProposedLoansWkst!R$2)</f>
        <v>0</v>
      </c>
      <c r="S57" s="838">
        <f>SUMIFS(ProposedLoans!$T$6:$T$21,ProposedLoans!$D$6:$D$21,$C$50,ProposedLoans!$Z$6:$Z$21,"*Jul*",ProposedLoans!$M$6:$M$21,ProposedLoansWkst!S$2)</f>
        <v>0</v>
      </c>
    </row>
    <row r="58" spans="2:19" x14ac:dyDescent="0.2">
      <c r="B58" s="831" t="s">
        <v>192</v>
      </c>
      <c r="C58" s="839" t="s">
        <v>11</v>
      </c>
      <c r="D58" s="833">
        <f>SUM(ProposedLoansWkst!$I58:$L58)+ProposedLoansWkst!$E58</f>
        <v>0</v>
      </c>
      <c r="E58" s="834">
        <f>SUM(ProposedLoansWkst!$P58:$S58)</f>
        <v>0</v>
      </c>
      <c r="F58" s="834">
        <f>SUM(ProposedLoansWkst!$M58)</f>
        <v>0</v>
      </c>
      <c r="H58" s="831" t="s">
        <v>11</v>
      </c>
      <c r="I58" s="833">
        <f>SUMIFS(ProposedLoans!$S$6:$S$21,ProposedLoans!$D$6:$D$21,$C$50,ProposedLoans!$Z$6:$Z$21,$C58,ProposedLoans!$M$6:$M$21,ProposedLoansWkst!I$2)</f>
        <v>0</v>
      </c>
      <c r="J58" s="834">
        <f>SUMIFS(ProposedLoans!$S$6:$S$21,ProposedLoans!$D$6:$D$21,$C$50,ProposedLoans!$Z$6:$Z$21,"*Aug*",ProposedLoans!$M$6:$M$21,ProposedLoansWkst!J$2)</f>
        <v>0</v>
      </c>
      <c r="K58" s="834">
        <f>SUMIFS(ProposedLoans!$S$6:$S$21,ProposedLoans!$D$6:$D$21,$C$50,ProposedLoans!$Z$6:$Z$21,"*Aug*",ProposedLoans!$M$6:$M$21,ProposedLoansWkst!K$2)</f>
        <v>0</v>
      </c>
      <c r="L58" s="834">
        <f>SUMIFS(ProposedLoans!$S$6:$S$21,ProposedLoans!$D$6:$D$21,$C$50,ProposedLoans!$Z$6:$Z$21,"*Aug*",ProposedLoans!$M$6:$M$21,ProposedLoansWkst!L$2)</f>
        <v>0</v>
      </c>
      <c r="M58" s="834">
        <f>SUMIFS(ProposedLoans!$F$6:$F$21,ProposedLoans!$D$6:$D$21,$C$50,ProposedLoans!$G$6:$G$21,"*Aug*")</f>
        <v>0</v>
      </c>
      <c r="O58" s="831" t="s">
        <v>11</v>
      </c>
      <c r="P58" s="834">
        <f>SUMIFS(ProposedLoans!$T$6:$T$21,ProposedLoans!$D$6:$D$21,$C$50,ProposedLoans!$Z$6:$Z$21,$C58,ProposedLoans!$M$6:$M$21,ProposedLoansWkst!I$2)</f>
        <v>0</v>
      </c>
      <c r="Q58" s="834">
        <f>SUMIFS(ProposedLoans!$T$6:$T$21,ProposedLoans!$D$6:$D$21,$C$50,ProposedLoans!$Z$6:$Z$21,"*Aug*",ProposedLoans!$M$6:$M$21,ProposedLoansWkst!Q$2)</f>
        <v>0</v>
      </c>
      <c r="R58" s="834">
        <f>SUMIFS(ProposedLoans!$T$6:$T$21,ProposedLoans!$D$6:$D$21,$C$50,ProposedLoans!$Z$6:$Z$21,"*Aug*",ProposedLoans!$M$6:$M$21,ProposedLoansWkst!R$2)</f>
        <v>0</v>
      </c>
      <c r="S58" s="834">
        <f>SUMIFS(ProposedLoans!$T$6:$T$21,ProposedLoans!$D$6:$D$21,$C$50,ProposedLoans!$Z$6:$Z$21,"*Aug*",ProposedLoans!$M$6:$M$21,ProposedLoansWkst!S$2)</f>
        <v>0</v>
      </c>
    </row>
    <row r="59" spans="2:19" x14ac:dyDescent="0.2">
      <c r="B59" s="835" t="s">
        <v>193</v>
      </c>
      <c r="C59" s="836" t="s">
        <v>12</v>
      </c>
      <c r="D59" s="837">
        <f>SUM(ProposedLoansWkst!$I59:$L59)+ProposedLoansWkst!$E59</f>
        <v>0</v>
      </c>
      <c r="E59" s="838">
        <f>SUM(ProposedLoansWkst!$P59:$S59)</f>
        <v>0</v>
      </c>
      <c r="F59" s="838">
        <f>SUM(ProposedLoansWkst!$M59)</f>
        <v>0</v>
      </c>
      <c r="H59" s="835" t="s">
        <v>12</v>
      </c>
      <c r="I59" s="837">
        <f>SUMIFS(ProposedLoans!$S$6:$S$21,ProposedLoans!$D$6:$D$21,$C$50,ProposedLoans!$Z$6:$Z$21,$C59,ProposedLoans!$M$6:$M$21,ProposedLoansWkst!I$2)</f>
        <v>0</v>
      </c>
      <c r="J59" s="838">
        <f>SUMIFS(ProposedLoans!$S$6:$S$21,ProposedLoans!$D$6:$D$21,$C$50,ProposedLoans!$Z$6:$Z$21,"*Sep*",ProposedLoans!$M$6:$M$21,ProposedLoansWkst!J$2)</f>
        <v>0</v>
      </c>
      <c r="K59" s="838">
        <f>SUMIFS(ProposedLoans!$S$6:$S$21,ProposedLoans!$D$6:$D$21,$C$50,ProposedLoans!$Z$6:$Z$21,"*Sep*",ProposedLoans!$M$6:$M$21,ProposedLoansWkst!K$2)</f>
        <v>0</v>
      </c>
      <c r="L59" s="838">
        <f>SUMIFS(ProposedLoans!$S$6:$S$21,ProposedLoans!$D$6:$D$21,$C$50,ProposedLoans!$Z$6:$Z$21,"*Sep*",ProposedLoans!$M$6:$M$21,ProposedLoansWkst!L$2)</f>
        <v>0</v>
      </c>
      <c r="M59" s="838">
        <f>SUMIFS(ProposedLoans!$F$6:$F$21,ProposedLoans!$D$6:$D$21,$C$50,ProposedLoans!$G$6:$G$21,"*Sep*")</f>
        <v>0</v>
      </c>
      <c r="O59" s="835" t="s">
        <v>12</v>
      </c>
      <c r="P59" s="838">
        <f>SUMIFS(ProposedLoans!$T$6:$T$21,ProposedLoans!$D$6:$D$21,$C$50,ProposedLoans!$Z$6:$Z$21,$C59,ProposedLoans!$M$6:$M$21,ProposedLoansWkst!I$2)</f>
        <v>0</v>
      </c>
      <c r="Q59" s="838">
        <f>SUMIFS(ProposedLoans!$T$6:$T$21,ProposedLoans!$D$6:$D$21,$C$50,ProposedLoans!$Z$6:$Z$21,"*Sep*",ProposedLoans!$M$6:$M$21,ProposedLoansWkst!Q$2)</f>
        <v>0</v>
      </c>
      <c r="R59" s="838">
        <f>SUMIFS(ProposedLoans!$T$6:$T$21,ProposedLoans!$D$6:$D$21,$C$50,ProposedLoans!$Z$6:$Z$21,"*Sep*",ProposedLoans!$M$6:$M$21,ProposedLoansWkst!R$2)</f>
        <v>0</v>
      </c>
      <c r="S59" s="838">
        <f>SUMIFS(ProposedLoans!$T$6:$T$21,ProposedLoans!$D$6:$D$21,$C$50,ProposedLoans!$Z$6:$Z$21,"*Sep*",ProposedLoans!$M$6:$M$21,ProposedLoansWkst!S$2)</f>
        <v>0</v>
      </c>
    </row>
    <row r="60" spans="2:19" x14ac:dyDescent="0.2">
      <c r="B60" s="831" t="s">
        <v>194</v>
      </c>
      <c r="C60" s="839" t="s">
        <v>13</v>
      </c>
      <c r="D60" s="833">
        <f>SUM(ProposedLoansWkst!$I60:$L60)+ProposedLoansWkst!$E60</f>
        <v>0</v>
      </c>
      <c r="E60" s="834">
        <f>SUM(ProposedLoansWkst!$P60:$S60)</f>
        <v>0</v>
      </c>
      <c r="F60" s="834">
        <f>SUM(ProposedLoansWkst!$M60)</f>
        <v>0</v>
      </c>
      <c r="H60" s="831" t="s">
        <v>13</v>
      </c>
      <c r="I60" s="833">
        <f>SUMIFS(ProposedLoans!$S$6:$S$21,ProposedLoans!$D$6:$D$21,$C$50,ProposedLoans!$Z$6:$Z$21,$C60,ProposedLoans!$M$6:$M$21,ProposedLoansWkst!I$2)</f>
        <v>0</v>
      </c>
      <c r="J60" s="834">
        <f>SUMIFS(ProposedLoans!$S$6:$S$21,ProposedLoans!$D$6:$D$21,$C$50,ProposedLoans!$Z$6:$Z$21,"*Oct*",ProposedLoans!$M$6:$M$21,ProposedLoansWkst!J$2)</f>
        <v>0</v>
      </c>
      <c r="K60" s="834">
        <f>SUMIFS(ProposedLoans!$S$6:$S$21,ProposedLoans!$D$6:$D$21,$C$50,ProposedLoans!$Z$6:$Z$21,"*Oct*",ProposedLoans!$M$6:$M$21,ProposedLoansWkst!K$2)</f>
        <v>0</v>
      </c>
      <c r="L60" s="834">
        <f>SUMIFS(ProposedLoans!$S$6:$S$21,ProposedLoans!$D$6:$D$21,$C$50,ProposedLoans!$Z$6:$Z$21,"*Oct*",ProposedLoans!$M$6:$M$21,ProposedLoansWkst!L$2)</f>
        <v>0</v>
      </c>
      <c r="M60" s="834">
        <f>SUMIFS(ProposedLoans!$F$6:$F$21,ProposedLoans!$D$6:$D$21,$C$50,ProposedLoans!$G$6:$G$21,"*Oct*")</f>
        <v>0</v>
      </c>
      <c r="O60" s="831" t="s">
        <v>13</v>
      </c>
      <c r="P60" s="834">
        <f>SUMIFS(ProposedLoans!$T$6:$T$21,ProposedLoans!$D$6:$D$21,$C$50,ProposedLoans!$Z$6:$Z$21,$C60,ProposedLoans!$M$6:$M$21,ProposedLoansWkst!I$2)</f>
        <v>0</v>
      </c>
      <c r="Q60" s="834">
        <f>SUMIFS(ProposedLoans!$T$6:$T$21,ProposedLoans!$D$6:$D$21,$C$50,ProposedLoans!$Z$6:$Z$21,"*Oct*",ProposedLoans!$M$6:$M$21,ProposedLoansWkst!Q$2)</f>
        <v>0</v>
      </c>
      <c r="R60" s="834">
        <f>SUMIFS(ProposedLoans!$T$6:$T$21,ProposedLoans!$D$6:$D$21,$C$50,ProposedLoans!$Z$6:$Z$21,"*Oct*",ProposedLoans!$M$6:$M$21,ProposedLoansWkst!R$2)</f>
        <v>0</v>
      </c>
      <c r="S60" s="834">
        <f>SUMIFS(ProposedLoans!$T$6:$T$21,ProposedLoans!$D$6:$D$21,$C$50,ProposedLoans!$Z$6:$Z$21,"*Oct*",ProposedLoans!$M$6:$M$21,ProposedLoansWkst!S$2)</f>
        <v>0</v>
      </c>
    </row>
    <row r="61" spans="2:19" x14ac:dyDescent="0.2">
      <c r="B61" s="835" t="s">
        <v>195</v>
      </c>
      <c r="C61" s="836" t="s">
        <v>14</v>
      </c>
      <c r="D61" s="837">
        <f>SUM(ProposedLoansWkst!$I61:$L61)+ProposedLoansWkst!$E61</f>
        <v>0</v>
      </c>
      <c r="E61" s="838">
        <f>SUM(ProposedLoansWkst!$P61:$S61)</f>
        <v>0</v>
      </c>
      <c r="F61" s="838">
        <f>SUM(ProposedLoansWkst!$M61)</f>
        <v>0</v>
      </c>
      <c r="H61" s="835" t="s">
        <v>14</v>
      </c>
      <c r="I61" s="837">
        <f>SUMIFS(ProposedLoans!$S$6:$S$21,ProposedLoans!$D$6:$D$21,$C$50,ProposedLoans!$Z$6:$Z$21,$C61,ProposedLoans!$M$6:$M$21,ProposedLoansWkst!I$2)</f>
        <v>0</v>
      </c>
      <c r="J61" s="838">
        <f>SUMIFS(ProposedLoans!$S$6:$S$21,ProposedLoans!$D$6:$D$21,$C$50,ProposedLoans!$Z$6:$Z$21,"*Nov*",ProposedLoans!$M$6:$M$21,ProposedLoansWkst!J$2)</f>
        <v>0</v>
      </c>
      <c r="K61" s="838">
        <f>SUMIFS(ProposedLoans!$S$6:$S$21,ProposedLoans!$D$6:$D$21,$C$50,ProposedLoans!$Z$6:$Z$21,"*Nov*",ProposedLoans!$M$6:$M$21,ProposedLoansWkst!K$2)</f>
        <v>0</v>
      </c>
      <c r="L61" s="838">
        <f>SUMIFS(ProposedLoans!$S$6:$S$21,ProposedLoans!$D$6:$D$21,$C$50,ProposedLoans!$Z$6:$Z$21,"*Nov*",ProposedLoans!$M$6:$M$21,ProposedLoansWkst!L$2)</f>
        <v>0</v>
      </c>
      <c r="M61" s="838">
        <f>SUMIFS(ProposedLoans!$F$6:$F$21,ProposedLoans!$D$6:$D$21,$C$50,ProposedLoans!$G$6:$G$21,"*Nov*")</f>
        <v>0</v>
      </c>
      <c r="O61" s="835" t="s">
        <v>14</v>
      </c>
      <c r="P61" s="838">
        <f>SUMIFS(ProposedLoans!$T$6:$T$21,ProposedLoans!$D$6:$D$21,$C$50,ProposedLoans!$Z$6:$Z$21,$C61,ProposedLoans!$M$6:$M$21,ProposedLoansWkst!I$2)</f>
        <v>0</v>
      </c>
      <c r="Q61" s="838">
        <f>SUMIFS(ProposedLoans!$T$6:$T$21,ProposedLoans!$D$6:$D$21,$C$50,ProposedLoans!$Z$6:$Z$21,"*Nov*",ProposedLoans!$M$6:$M$21,ProposedLoansWkst!Q$2)</f>
        <v>0</v>
      </c>
      <c r="R61" s="838">
        <f>SUMIFS(ProposedLoans!$T$6:$T$21,ProposedLoans!$D$6:$D$21,$C$50,ProposedLoans!$Z$6:$Z$21,"*Nov*",ProposedLoans!$M$6:$M$21,ProposedLoansWkst!R$2)</f>
        <v>0</v>
      </c>
      <c r="S61" s="838">
        <f>SUMIFS(ProposedLoans!$T$6:$T$21,ProposedLoans!$D$6:$D$21,$C$50,ProposedLoans!$Z$6:$Z$21,"*Nov*",ProposedLoans!$M$6:$M$21,ProposedLoansWkst!S$2)</f>
        <v>0</v>
      </c>
    </row>
    <row r="62" spans="2:19" ht="13.5" thickBot="1" x14ac:dyDescent="0.25">
      <c r="B62" s="831" t="s">
        <v>196</v>
      </c>
      <c r="C62" s="839" t="s">
        <v>15</v>
      </c>
      <c r="D62" s="833">
        <f>SUM(ProposedLoansWkst!$I62:$L62)+ProposedLoansWkst!$E62</f>
        <v>0</v>
      </c>
      <c r="E62" s="834">
        <f>SUM(ProposedLoansWkst!$P62:$S62)</f>
        <v>0</v>
      </c>
      <c r="F62" s="834">
        <f>SUM(ProposedLoansWkst!$M62)</f>
        <v>0</v>
      </c>
      <c r="H62" s="831" t="s">
        <v>15</v>
      </c>
      <c r="I62" s="833">
        <f>SUMIFS(ProposedLoans!$S$6:$S$21,ProposedLoans!$D$6:$D$21,$C$50,ProposedLoans!$Z$6:$Z$21,$C62,ProposedLoans!$M$6:$M$21,ProposedLoansWkst!I$2)</f>
        <v>0</v>
      </c>
      <c r="J62" s="834">
        <f>SUMIFS(ProposedLoans!$S$6:$S$21,ProposedLoans!$D$6:$D$21,$C$50,ProposedLoans!$Z$6:$Z$21,"*Dec*",ProposedLoans!$M$6:$M$21,ProposedLoansWkst!J$2)</f>
        <v>0</v>
      </c>
      <c r="K62" s="834">
        <f>SUMIFS(ProposedLoans!$S$6:$S$21,ProposedLoans!$D$6:$D$21,$C$50,ProposedLoans!$Z$6:$Z$21,"*Dec*",ProposedLoans!$M$6:$M$21,ProposedLoansWkst!K$2)</f>
        <v>0</v>
      </c>
      <c r="L62" s="834">
        <f>SUMIFS(ProposedLoans!$S$6:$S$21,ProposedLoans!$D$6:$D$21,$C$50,ProposedLoans!$Z$6:$Z$21,"*Dec*",ProposedLoans!$M$6:$M$21,ProposedLoansWkst!L$2)</f>
        <v>0</v>
      </c>
      <c r="M62" s="834">
        <f>SUMIFS(ProposedLoans!$F$6:$F$21,ProposedLoans!$D$6:$D$21,$C$50,ProposedLoans!$G$6:$G$21,"*Dec*")</f>
        <v>0</v>
      </c>
      <c r="O62" s="831" t="s">
        <v>15</v>
      </c>
      <c r="P62" s="834">
        <f>SUMIFS(ProposedLoans!$T$6:$T$21,ProposedLoans!$D$6:$D$21,$C$50,ProposedLoans!$Z$6:$Z$21,$C62,ProposedLoans!$M$6:$M$21,ProposedLoansWkst!I$2)</f>
        <v>0</v>
      </c>
      <c r="Q62" s="834">
        <f>SUMIFS(ProposedLoans!$T$6:$T$21,ProposedLoans!$D$6:$D$21,$C$50,ProposedLoans!$Z$6:$Z$21,"*Dec*",ProposedLoans!$M$6:$M$21,ProposedLoansWkst!Q$2)</f>
        <v>0</v>
      </c>
      <c r="R62" s="834">
        <f>SUMIFS(ProposedLoans!$T$6:$T$21,ProposedLoans!$D$6:$D$21,$C$50,ProposedLoans!$Z$6:$Z$21,"*Dec*",ProposedLoans!$M$6:$M$21,ProposedLoansWkst!R$2)</f>
        <v>0</v>
      </c>
      <c r="S62" s="834">
        <f>SUMIFS(ProposedLoans!$T$6:$T$21,ProposedLoans!$D$6:$D$21,$C$50,ProposedLoans!$Z$6:$Z$21,"*Dec*",ProposedLoans!$M$6:$M$21,ProposedLoansWkst!S$2)</f>
        <v>0</v>
      </c>
    </row>
    <row r="63" spans="2:19" ht="13.5" thickTop="1" x14ac:dyDescent="0.2">
      <c r="B63" s="840"/>
      <c r="C63" s="841"/>
      <c r="D63" s="842">
        <f>SUM(ProposedLoansWkst!$D$51:$D$62)</f>
        <v>0</v>
      </c>
      <c r="E63" s="824">
        <f>SUM(ProposedLoansWkst!$E$51:$E$62)</f>
        <v>0</v>
      </c>
      <c r="F63" s="823">
        <f>SUM(ProposedLoansWkst!$F$51:$F$62)</f>
        <v>0</v>
      </c>
      <c r="H63" s="845"/>
      <c r="I63" s="823">
        <f>SUM(ProposedLoansWkst!$I$51:$I$62)</f>
        <v>0</v>
      </c>
      <c r="J63" s="823">
        <f>SUM(ProposedLoansWkst!$J$51:$J$62)</f>
        <v>0</v>
      </c>
      <c r="K63" s="823">
        <f>SUM(ProposedLoansWkst!$K$51:$K$62)</f>
        <v>0</v>
      </c>
      <c r="L63" s="823">
        <f>SUM(ProposedLoansWkst!$L$51:$L$62)</f>
        <v>0</v>
      </c>
      <c r="M63" s="823">
        <f>SUM(ProposedLoansWkst!$M$51:$M$62)</f>
        <v>0</v>
      </c>
      <c r="O63" s="845"/>
      <c r="P63" s="823">
        <f>SUM(ProposedLoansWkst!$P$51:$P$62)</f>
        <v>0</v>
      </c>
      <c r="Q63" s="823">
        <f>SUM(ProposedLoansWkst!$Q$51:$Q$62)</f>
        <v>0</v>
      </c>
      <c r="R63" s="823">
        <f>SUM(ProposedLoansWkst!$R$51:$R$62)</f>
        <v>0</v>
      </c>
      <c r="S63" s="823">
        <f>SUM(ProposedLoansWkst!$S$51:$S$62)</f>
        <v>0</v>
      </c>
    </row>
    <row r="66" spans="2:19" ht="13.5" thickBot="1" x14ac:dyDescent="0.25">
      <c r="B66" s="825" t="s">
        <v>126</v>
      </c>
      <c r="C66" s="826" t="s">
        <v>422</v>
      </c>
      <c r="D66" s="826" t="s">
        <v>179</v>
      </c>
      <c r="E66" s="826" t="s">
        <v>180</v>
      </c>
      <c r="F66" s="826" t="s">
        <v>213</v>
      </c>
      <c r="H66" s="825" t="s">
        <v>200</v>
      </c>
      <c r="I66" s="826" t="s">
        <v>105</v>
      </c>
      <c r="J66" s="826" t="s">
        <v>103</v>
      </c>
      <c r="K66" s="826" t="s">
        <v>101</v>
      </c>
      <c r="L66" s="826" t="s">
        <v>100</v>
      </c>
      <c r="M66" s="826" t="s">
        <v>213</v>
      </c>
      <c r="N66" s="57"/>
      <c r="O66" s="825" t="s">
        <v>200</v>
      </c>
      <c r="P66" s="846" t="s">
        <v>105</v>
      </c>
      <c r="Q66" s="846" t="s">
        <v>103</v>
      </c>
      <c r="R66" s="846" t="s">
        <v>101</v>
      </c>
      <c r="S66" s="846" t="s">
        <v>100</v>
      </c>
    </row>
    <row r="67" spans="2:19" ht="13.5" thickTop="1" x14ac:dyDescent="0.2">
      <c r="B67" s="827" t="s">
        <v>186</v>
      </c>
      <c r="C67" s="828" t="s">
        <v>5</v>
      </c>
      <c r="D67" s="829">
        <f>SUM(ProposedLoansWkst!$I67:$L67)</f>
        <v>0</v>
      </c>
      <c r="E67" s="830">
        <f>SUM(ProposedLoansWkst!$P67:$S67)</f>
        <v>0</v>
      </c>
      <c r="F67" s="830">
        <f>SUM(ProposedLoansWkst!$M67)</f>
        <v>0</v>
      </c>
      <c r="H67" s="843" t="s">
        <v>5</v>
      </c>
      <c r="I67" s="829">
        <f>SUMIFS(ProposedLoans!$S$6:$S$21,ProposedLoans!$D$6:$D$21,$C$66,ProposedLoans!$Z$6:$Z$21,$C67,ProposedLoans!$M$6:$M$21,ProposedLoansWkst!I$2)</f>
        <v>0</v>
      </c>
      <c r="J67" s="830">
        <f>SUMIFS(ProposedLoans!$S$6:$S$21,ProposedLoans!$D$6:$D$21,$C$66,ProposedLoans!$Z$6:$Z$21,"*Jan*",ProposedLoans!$M$6:$M$21,ProposedLoansWkst!J$2)</f>
        <v>0</v>
      </c>
      <c r="K67" s="830">
        <f>SUMIFS(ProposedLoans!$S$6:$S$21,ProposedLoans!$D$6:$D$21,$C$66,ProposedLoans!$Z$6:$Z$21,"*Jan*",ProposedLoans!$M$6:$M$21,ProposedLoansWkst!K$2)</f>
        <v>0</v>
      </c>
      <c r="L67" s="830">
        <f>SUMIFS(ProposedLoans!$S$6:$S$21,ProposedLoans!$D$6:$D$21,$C$66,ProposedLoans!$Z$6:$Z$21,"*Jan*",ProposedLoans!$M$6:$M$21,ProposedLoansWkst!L$2)</f>
        <v>0</v>
      </c>
      <c r="M67" s="830">
        <f>SUMIFS(ProposedLoans!$F$6:$F$21,ProposedLoans!$D$6:$D$21,$C$66,ProposedLoans!$G$6:$G$21,"*Jan*")</f>
        <v>0</v>
      </c>
      <c r="O67" s="843" t="s">
        <v>5</v>
      </c>
      <c r="P67" s="830">
        <f>SUMIFS(ProposedLoans!$T$6:$T$21,ProposedLoans!$D$6:$D$21,$C$66,ProposedLoans!$Z$6:$Z$21,$C67,ProposedLoans!$M$6:$M$21,ProposedLoansWkst!I$2)</f>
        <v>0</v>
      </c>
      <c r="Q67" s="830">
        <f>SUMIFS(ProposedLoans!$T$6:$T$21,ProposedLoans!$D$6:$D$21,$C$66,ProposedLoans!$Z$6:$Z$21,"*Jan*",ProposedLoans!$M$6:$M$21,ProposedLoansWkst!Q$2)</f>
        <v>0</v>
      </c>
      <c r="R67" s="830">
        <f>SUMIFS(ProposedLoans!$T$6:$T$21,ProposedLoans!$D$6:$D$21,$C$66,ProposedLoans!$Z$6:$Z$21,"*Jan*",ProposedLoans!$M$6:$M$21,ProposedLoansWkst!R$2)</f>
        <v>0</v>
      </c>
      <c r="S67" s="830">
        <f>SUMIFS(ProposedLoans!$T$6:$T$21,ProposedLoans!$D$6:$D$21,$C$66,ProposedLoans!$Z$6:$Z$21,"*Jan*",ProposedLoans!$M$6:$M$21,ProposedLoansWkst!S$2)</f>
        <v>0</v>
      </c>
    </row>
    <row r="68" spans="2:19" x14ac:dyDescent="0.2">
      <c r="B68" s="831" t="s">
        <v>187</v>
      </c>
      <c r="C68" s="832" t="s">
        <v>6</v>
      </c>
      <c r="D68" s="833">
        <f>SUM(ProposedLoansWkst!$I68:$L68)</f>
        <v>0</v>
      </c>
      <c r="E68" s="834">
        <f>SUM(ProposedLoansWkst!$P68:$S68)</f>
        <v>0</v>
      </c>
      <c r="F68" s="834">
        <f>SUM(ProposedLoansWkst!$M68)</f>
        <v>0</v>
      </c>
      <c r="H68" s="844" t="s">
        <v>6</v>
      </c>
      <c r="I68" s="833">
        <f>SUMIFS(ProposedLoans!$S$6:$S$21,ProposedLoans!$D$6:$D$21,$C$66,ProposedLoans!$Z$6:$Z$21,$C68,ProposedLoans!$M$6:$M$21,ProposedLoansWkst!I$2)</f>
        <v>0</v>
      </c>
      <c r="J68" s="834">
        <f>SUMIFS(ProposedLoans!$S$6:$S$21,ProposedLoans!$D$6:$D$21,$C$66,ProposedLoans!$Z$6:$Z$21,"*Feb*",ProposedLoans!$M$6:$M$21,ProposedLoansWkst!J$2)</f>
        <v>0</v>
      </c>
      <c r="K68" s="834">
        <f>SUMIFS(ProposedLoans!$S$6:$S$21,ProposedLoans!$D$6:$D$21,$C$66,ProposedLoans!$Z$6:$Z$21,"*Feb*",ProposedLoans!$M$6:$M$21,ProposedLoansWkst!K$2)</f>
        <v>0</v>
      </c>
      <c r="L68" s="834">
        <f>SUMIFS(ProposedLoans!$S$6:$S$21,ProposedLoans!$D$6:$D$21,$C$66,ProposedLoans!$Z$6:$Z$21,"*Feb*",ProposedLoans!$M$6:$M$21,ProposedLoansWkst!L$2)</f>
        <v>0</v>
      </c>
      <c r="M68" s="834">
        <f>SUMIFS(ProposedLoans!$F$6:$F$21,ProposedLoans!$D$6:$D$21,$C$66,ProposedLoans!$G$6:$G$21,"*Feb*")</f>
        <v>0</v>
      </c>
      <c r="O68" s="844" t="s">
        <v>6</v>
      </c>
      <c r="P68" s="834">
        <f>SUMIFS(ProposedLoans!$T$6:$T$21,ProposedLoans!$D$6:$D$21,$C$66,ProposedLoans!$Z$6:$Z$21,$C68,ProposedLoans!$M$6:$M$21,ProposedLoansWkst!I$2)</f>
        <v>0</v>
      </c>
      <c r="Q68" s="834">
        <f>SUMIFS(ProposedLoans!$T$6:$T$21,ProposedLoans!$D$6:$D$21,$C$66,ProposedLoans!$Z$6:$Z$21,"*Feb*",ProposedLoans!$M$6:$M$21,ProposedLoansWkst!Q$2)</f>
        <v>0</v>
      </c>
      <c r="R68" s="834">
        <f>SUMIFS(ProposedLoans!$T$6:$T$21,ProposedLoans!$D$6:$D$21,$C$66,ProposedLoans!$Z$6:$Z$21,"*Feb*",ProposedLoans!$M$6:$M$21,ProposedLoansWkst!R$2)</f>
        <v>0</v>
      </c>
      <c r="S68" s="834">
        <f>SUMIFS(ProposedLoans!$T$6:$T$21,ProposedLoans!$D$6:$D$21,$C$66,ProposedLoans!$Z$6:$Z$21,"*Feb*",ProposedLoans!$M$6:$M$21,ProposedLoansWkst!S$2)</f>
        <v>0</v>
      </c>
    </row>
    <row r="69" spans="2:19" x14ac:dyDescent="0.2">
      <c r="B69" s="835" t="s">
        <v>188</v>
      </c>
      <c r="C69" s="836" t="s">
        <v>7</v>
      </c>
      <c r="D69" s="837">
        <f>SUM(ProposedLoansWkst!$I69:$L69)</f>
        <v>0</v>
      </c>
      <c r="E69" s="838">
        <f>SUM(ProposedLoansWkst!$P69:$S69)</f>
        <v>0</v>
      </c>
      <c r="F69" s="838">
        <f>SUM(ProposedLoansWkst!$M69)</f>
        <v>0</v>
      </c>
      <c r="H69" s="835" t="s">
        <v>7</v>
      </c>
      <c r="I69" s="837">
        <f>SUMIFS(ProposedLoans!$S$6:$S$21,ProposedLoans!$D$6:$D$21,$C$66,ProposedLoans!$Z$6:$Z$21,$C69,ProposedLoans!$M$6:$M$21,ProposedLoansWkst!I$2)</f>
        <v>0</v>
      </c>
      <c r="J69" s="838">
        <f>SUMIFS(ProposedLoans!$S$6:$S$21,ProposedLoans!$D$6:$D$21,$C$66,ProposedLoans!$Z$6:$Z$21,"*Mar*",ProposedLoans!$M$6:$M$21,ProposedLoansWkst!J$2)</f>
        <v>0</v>
      </c>
      <c r="K69" s="838">
        <f>SUMIFS(ProposedLoans!$S$6:$S$21,ProposedLoans!$D$6:$D$21,$C$66,ProposedLoans!$Z$6:$Z$21,"*Mar*",ProposedLoans!$M$6:$M$21,ProposedLoansWkst!K$2)</f>
        <v>0</v>
      </c>
      <c r="L69" s="838">
        <f>SUMIFS(ProposedLoans!$S$6:$S$21,ProposedLoans!$D$6:$D$21,$C$66,ProposedLoans!$Z$6:$Z$21,"*Mar*",ProposedLoans!$M$6:$M$21,ProposedLoansWkst!L$2)</f>
        <v>0</v>
      </c>
      <c r="M69" s="838">
        <f>SUMIFS(ProposedLoans!$F$6:$F$21,ProposedLoans!$D$6:$D$21,$C$66,ProposedLoans!$G$6:$G$21,"*Mar*")</f>
        <v>0</v>
      </c>
      <c r="O69" s="835" t="s">
        <v>7</v>
      </c>
      <c r="P69" s="838">
        <f>SUMIFS(ProposedLoans!$T$6:$T$21,ProposedLoans!$D$6:$D$21,$C$66,ProposedLoans!$Z$6:$Z$21,$C69,ProposedLoans!$M$6:$M$21,ProposedLoansWkst!I$2)</f>
        <v>0</v>
      </c>
      <c r="Q69" s="838">
        <f>SUMIFS(ProposedLoans!$T$6:$T$21,ProposedLoans!$D$6:$D$21,$C$66,ProposedLoans!$Z$6:$Z$21,"*Mar*",ProposedLoans!$M$6:$M$21,ProposedLoansWkst!Q$2)</f>
        <v>0</v>
      </c>
      <c r="R69" s="838">
        <f>SUMIFS(ProposedLoans!$T$6:$T$21,ProposedLoans!$D$6:$D$21,$C$66,ProposedLoans!$Z$6:$Z$21,"*Mar*",ProposedLoans!$M$6:$M$21,ProposedLoansWkst!R$2)</f>
        <v>0</v>
      </c>
      <c r="S69" s="838">
        <f>SUMIFS(ProposedLoans!$T$6:$T$21,ProposedLoans!$D$6:$D$21,$C$66,ProposedLoans!$Z$6:$Z$21,"*Mar*",ProposedLoans!$M$6:$M$21,ProposedLoansWkst!S$2)</f>
        <v>0</v>
      </c>
    </row>
    <row r="70" spans="2:19" x14ac:dyDescent="0.2">
      <c r="B70" s="831" t="s">
        <v>189</v>
      </c>
      <c r="C70" s="839" t="s">
        <v>8</v>
      </c>
      <c r="D70" s="833">
        <f>SUM(ProposedLoansWkst!$I70:$L70)</f>
        <v>0</v>
      </c>
      <c r="E70" s="834">
        <f>SUM(ProposedLoansWkst!$P70:$S70)</f>
        <v>0</v>
      </c>
      <c r="F70" s="834">
        <f>SUM(ProposedLoansWkst!$M70)</f>
        <v>0</v>
      </c>
      <c r="H70" s="831" t="s">
        <v>8</v>
      </c>
      <c r="I70" s="833">
        <f>SUMIFS(ProposedLoans!$S$6:$S$21,ProposedLoans!$D$6:$D$21,$C$66,ProposedLoans!$Z$6:$Z$21,$C70,ProposedLoans!$M$6:$M$21,ProposedLoansWkst!I$2)</f>
        <v>0</v>
      </c>
      <c r="J70" s="834">
        <f>SUMIFS(ProposedLoans!$S$6:$S$21,ProposedLoans!$D$6:$D$21,$C$66,ProposedLoans!$Z$6:$Z$21,"*Apr*",ProposedLoans!$M$6:$M$21,ProposedLoansWkst!J$2)</f>
        <v>0</v>
      </c>
      <c r="K70" s="834">
        <f>SUMIFS(ProposedLoans!$S$6:$S$21,ProposedLoans!$D$6:$D$21,$C$66,ProposedLoans!$Z$6:$Z$21,"*Apr*",ProposedLoans!$M$6:$M$21,ProposedLoansWkst!K$2)</f>
        <v>0</v>
      </c>
      <c r="L70" s="834">
        <f>SUMIFS(ProposedLoans!$S$6:$S$21,ProposedLoans!$D$6:$D$21,$C$66,ProposedLoans!$Z$6:$Z$21,"*Apr*",ProposedLoans!$M$6:$M$21,ProposedLoansWkst!L$2)</f>
        <v>0</v>
      </c>
      <c r="M70" s="834">
        <f>SUMIFS(ProposedLoans!$F$6:$F$21,ProposedLoans!$D$6:$D$21,$C$66,ProposedLoans!$G$6:$G$21,"*Apr*")</f>
        <v>0</v>
      </c>
      <c r="O70" s="831" t="s">
        <v>8</v>
      </c>
      <c r="P70" s="834">
        <f>SUMIFS(ProposedLoans!$T$6:$T$21,ProposedLoans!$D$6:$D$21,$C$66,ProposedLoans!$Z$6:$Z$21,$C70,ProposedLoans!$M$6:$M$21,ProposedLoansWkst!I$2)</f>
        <v>0</v>
      </c>
      <c r="Q70" s="834">
        <f>SUMIFS(ProposedLoans!$T$6:$T$21,ProposedLoans!$D$6:$D$21,$C$66,ProposedLoans!$Z$6:$Z$21,"*Apr*",ProposedLoans!$M$6:$M$21,ProposedLoansWkst!Q$2)</f>
        <v>0</v>
      </c>
      <c r="R70" s="834">
        <f>SUMIFS(ProposedLoans!$T$6:$T$21,ProposedLoans!$D$6:$D$21,$C$66,ProposedLoans!$Z$6:$Z$21,"*Apr*",ProposedLoans!$M$6:$M$21,ProposedLoansWkst!R$2)</f>
        <v>0</v>
      </c>
      <c r="S70" s="834">
        <f>SUMIFS(ProposedLoans!$T$6:$T$21,ProposedLoans!$D$6:$D$21,$C$66,ProposedLoans!$Z$6:$Z$21,"*Apr*",ProposedLoans!$M$6:$M$21,ProposedLoansWkst!S$2)</f>
        <v>0</v>
      </c>
    </row>
    <row r="71" spans="2:19" x14ac:dyDescent="0.2">
      <c r="B71" s="835" t="s">
        <v>4</v>
      </c>
      <c r="C71" s="836" t="s">
        <v>4</v>
      </c>
      <c r="D71" s="837">
        <f>SUM(ProposedLoansWkst!$I71:$L71)</f>
        <v>0</v>
      </c>
      <c r="E71" s="838">
        <f>SUM(ProposedLoansWkst!$P71:$S71)</f>
        <v>0</v>
      </c>
      <c r="F71" s="838">
        <f>SUM(ProposedLoansWkst!$M71)</f>
        <v>0</v>
      </c>
      <c r="H71" s="835" t="s">
        <v>4</v>
      </c>
      <c r="I71" s="837">
        <f>SUMIFS(ProposedLoans!$S$6:$S$21,ProposedLoans!$D$6:$D$21,$C$66,ProposedLoans!$Z$6:$Z$21,$C71,ProposedLoans!$M$6:$M$21,ProposedLoansWkst!I$2)</f>
        <v>0</v>
      </c>
      <c r="J71" s="838">
        <f>SUMIFS(ProposedLoans!$S$6:$S$21,ProposedLoans!$D$6:$D$21,$C$66,ProposedLoans!$Z$6:$Z$21,"*May*",ProposedLoans!$M$6:$M$21,ProposedLoansWkst!J$2)</f>
        <v>0</v>
      </c>
      <c r="K71" s="838">
        <f>SUMIFS(ProposedLoans!$S$6:$S$21,ProposedLoans!$D$6:$D$21,$C$66,ProposedLoans!$Z$6:$Z$21,"*May*",ProposedLoans!$M$6:$M$21,ProposedLoansWkst!K$2)</f>
        <v>0</v>
      </c>
      <c r="L71" s="838">
        <f>SUMIFS(ProposedLoans!$S$6:$S$21,ProposedLoans!$D$6:$D$21,$C$66,ProposedLoans!$Z$6:$Z$21,"*May*",ProposedLoans!$M$6:$M$21,ProposedLoansWkst!L$2)</f>
        <v>0</v>
      </c>
      <c r="M71" s="838">
        <f>SUMIFS(ProposedLoans!$F$6:$F$21,ProposedLoans!$D$6:$D$21,$C$66,ProposedLoans!$G$6:$G$21,"*May*")</f>
        <v>0</v>
      </c>
      <c r="O71" s="835" t="s">
        <v>4</v>
      </c>
      <c r="P71" s="838">
        <f>SUMIFS(ProposedLoans!$T$6:$T$21,ProposedLoans!$D$6:$D$21,$C$66,ProposedLoans!$Z$6:$Z$21,$C71,ProposedLoans!$M$6:$M$21,ProposedLoansWkst!I$2)</f>
        <v>0</v>
      </c>
      <c r="Q71" s="838">
        <f>SUMIFS(ProposedLoans!$T$6:$T$21,ProposedLoans!$D$6:$D$21,$C$66,ProposedLoans!$Z$6:$Z$21,"*May*",ProposedLoans!$M$6:$M$21,ProposedLoansWkst!Q$2)</f>
        <v>0</v>
      </c>
      <c r="R71" s="838">
        <f>SUMIFS(ProposedLoans!$T$6:$T$21,ProposedLoans!$D$6:$D$21,$C$66,ProposedLoans!$Z$6:$Z$21,"*May*",ProposedLoans!$M$6:$M$21,ProposedLoansWkst!R$2)</f>
        <v>0</v>
      </c>
      <c r="S71" s="838">
        <f>SUMIFS(ProposedLoans!$T$6:$T$21,ProposedLoans!$D$6:$D$21,$C$66,ProposedLoans!$Z$6:$Z$21,"*May*",ProposedLoans!$M$6:$M$21,ProposedLoansWkst!S$2)</f>
        <v>0</v>
      </c>
    </row>
    <row r="72" spans="2:19" x14ac:dyDescent="0.2">
      <c r="B72" s="831" t="s">
        <v>190</v>
      </c>
      <c r="C72" s="839" t="s">
        <v>9</v>
      </c>
      <c r="D72" s="833">
        <f>SUM(ProposedLoansWkst!$I72:$L72)</f>
        <v>0</v>
      </c>
      <c r="E72" s="834">
        <f>SUM(ProposedLoansWkst!$P72:$S72)</f>
        <v>0</v>
      </c>
      <c r="F72" s="834">
        <f>SUM(ProposedLoansWkst!$M72)</f>
        <v>0</v>
      </c>
      <c r="H72" s="831" t="s">
        <v>9</v>
      </c>
      <c r="I72" s="833">
        <f>SUMIFS(ProposedLoans!$S$6:$S$21,ProposedLoans!$D$6:$D$21,$C$66,ProposedLoans!$Z$6:$Z$21,$C72,ProposedLoans!$M$6:$M$21,ProposedLoansWkst!I$2)</f>
        <v>0</v>
      </c>
      <c r="J72" s="834">
        <f>SUMIFS(ProposedLoans!$S$6:$S$21,ProposedLoans!$D$6:$D$21,$C$66,ProposedLoans!$Z$6:$Z$21,"*Jun*",ProposedLoans!$M$6:$M$21,ProposedLoansWkst!J$2)</f>
        <v>0</v>
      </c>
      <c r="K72" s="834">
        <f>SUMIFS(ProposedLoans!$S$6:$S$21,ProposedLoans!$D$6:$D$21,$C$66,ProposedLoans!$Z$6:$Z$21,"*Jun*",ProposedLoans!$M$6:$M$21,ProposedLoansWkst!K$2)</f>
        <v>0</v>
      </c>
      <c r="L72" s="834">
        <f>SUMIFS(ProposedLoans!$S$6:$S$21,ProposedLoans!$D$6:$D$21,$C$66,ProposedLoans!$Z$6:$Z$21,"*Jun*",ProposedLoans!$M$6:$M$21,ProposedLoansWkst!L$2)</f>
        <v>0</v>
      </c>
      <c r="M72" s="834">
        <f>SUMIFS(ProposedLoans!$F$6:$F$21,ProposedLoans!$D$6:$D$21,$C$66,ProposedLoans!$G$6:$G$21,"*Jun*")</f>
        <v>0</v>
      </c>
      <c r="O72" s="831" t="s">
        <v>9</v>
      </c>
      <c r="P72" s="834">
        <f>SUMIFS(ProposedLoans!$T$6:$T$21,ProposedLoans!$D$6:$D$21,$C$66,ProposedLoans!$Z$6:$Z$21,$C72,ProposedLoans!$M$6:$M$21,ProposedLoansWkst!I$2)</f>
        <v>0</v>
      </c>
      <c r="Q72" s="834">
        <f>SUMIFS(ProposedLoans!$T$6:$T$21,ProposedLoans!$D$6:$D$21,$C$66,ProposedLoans!$Z$6:$Z$21,"*Jun*",ProposedLoans!$M$6:$M$21,ProposedLoansWkst!Q$2)</f>
        <v>0</v>
      </c>
      <c r="R72" s="834">
        <f>SUMIFS(ProposedLoans!$T$6:$T$21,ProposedLoans!$D$6:$D$21,$C$66,ProposedLoans!$Z$6:$Z$21,"*Jun*",ProposedLoans!$M$6:$M$21,ProposedLoansWkst!R$2)</f>
        <v>0</v>
      </c>
      <c r="S72" s="834">
        <f>SUMIFS(ProposedLoans!$T$6:$T$21,ProposedLoans!$D$6:$D$21,$C$66,ProposedLoans!$Z$6:$Z$21,"*Jun*",ProposedLoans!$M$6:$M$21,ProposedLoansWkst!S$2)</f>
        <v>0</v>
      </c>
    </row>
    <row r="73" spans="2:19" x14ac:dyDescent="0.2">
      <c r="B73" s="835" t="s">
        <v>191</v>
      </c>
      <c r="C73" s="836" t="s">
        <v>10</v>
      </c>
      <c r="D73" s="837">
        <f>SUM(ProposedLoansWkst!$I73:$L73)</f>
        <v>0</v>
      </c>
      <c r="E73" s="838">
        <f>SUM(ProposedLoansWkst!$P73:$S73)</f>
        <v>0</v>
      </c>
      <c r="F73" s="838">
        <f>SUM(ProposedLoansWkst!$M73)</f>
        <v>0</v>
      </c>
      <c r="H73" s="835" t="s">
        <v>10</v>
      </c>
      <c r="I73" s="837">
        <f>SUMIFS(ProposedLoans!$S$6:$S$21,ProposedLoans!$D$6:$D$21,$C$66,ProposedLoans!$Z$6:$Z$21,$C73,ProposedLoans!$M$6:$M$21,ProposedLoansWkst!I$2)</f>
        <v>0</v>
      </c>
      <c r="J73" s="838">
        <f>SUMIFS(ProposedLoans!$S$6:$S$21,ProposedLoans!$D$6:$D$21,$C$66,ProposedLoans!$Z$6:$Z$21,"*Jul*",ProposedLoans!$M$6:$M$21,ProposedLoansWkst!J$2)</f>
        <v>0</v>
      </c>
      <c r="K73" s="838">
        <f>SUMIFS(ProposedLoans!$S$6:$S$21,ProposedLoans!$D$6:$D$21,$C$66,ProposedLoans!$Z$6:$Z$21,"*Jul*",ProposedLoans!$M$6:$M$21,ProposedLoansWkst!K$2)</f>
        <v>0</v>
      </c>
      <c r="L73" s="838">
        <f>SUMIFS(ProposedLoans!$S$6:$S$21,ProposedLoans!$D$6:$D$21,$C$66,ProposedLoans!$Z$6:$Z$21,"*Jul*",ProposedLoans!$M$6:$M$21,ProposedLoansWkst!L$2)</f>
        <v>0</v>
      </c>
      <c r="M73" s="838">
        <f>SUMIFS(ProposedLoans!$F$6:$F$21,ProposedLoans!$D$6:$D$21,$C$66,ProposedLoans!$G$6:$G$21,"*Jul*")</f>
        <v>0</v>
      </c>
      <c r="O73" s="835" t="s">
        <v>10</v>
      </c>
      <c r="P73" s="838">
        <f>SUMIFS(ProposedLoans!$T$6:$T$21,ProposedLoans!$D$6:$D$21,$C$66,ProposedLoans!$Z$6:$Z$21,$C73,ProposedLoans!$M$6:$M$21,ProposedLoansWkst!I$2)</f>
        <v>0</v>
      </c>
      <c r="Q73" s="838">
        <f>SUMIFS(ProposedLoans!$T$6:$T$21,ProposedLoans!$D$6:$D$21,$C$66,ProposedLoans!$Z$6:$Z$21,"*Jul*",ProposedLoans!$M$6:$M$21,ProposedLoansWkst!Q$2)</f>
        <v>0</v>
      </c>
      <c r="R73" s="838">
        <f>SUMIFS(ProposedLoans!$T$6:$T$21,ProposedLoans!$D$6:$D$21,$C$66,ProposedLoans!$Z$6:$Z$21,"*Jul*",ProposedLoans!$M$6:$M$21,ProposedLoansWkst!R$2)</f>
        <v>0</v>
      </c>
      <c r="S73" s="838">
        <f>SUMIFS(ProposedLoans!$T$6:$T$21,ProposedLoans!$D$6:$D$21,$C$66,ProposedLoans!$Z$6:$Z$21,"*Jul*",ProposedLoans!$M$6:$M$21,ProposedLoansWkst!S$2)</f>
        <v>0</v>
      </c>
    </row>
    <row r="74" spans="2:19" x14ac:dyDescent="0.2">
      <c r="B74" s="831" t="s">
        <v>192</v>
      </c>
      <c r="C74" s="839" t="s">
        <v>11</v>
      </c>
      <c r="D74" s="833">
        <f>SUM(ProposedLoansWkst!$I74:$L74)</f>
        <v>0</v>
      </c>
      <c r="E74" s="834">
        <f>SUM(ProposedLoansWkst!$P74:$S74)</f>
        <v>0</v>
      </c>
      <c r="F74" s="834">
        <f>SUM(ProposedLoansWkst!$M74)</f>
        <v>0</v>
      </c>
      <c r="H74" s="831" t="s">
        <v>11</v>
      </c>
      <c r="I74" s="833">
        <f>SUMIFS(ProposedLoans!$S$6:$S$21,ProposedLoans!$D$6:$D$21,$C$66,ProposedLoans!$Z$6:$Z$21,$C74,ProposedLoans!$M$6:$M$21,ProposedLoansWkst!I$2)</f>
        <v>0</v>
      </c>
      <c r="J74" s="834">
        <f>SUMIFS(ProposedLoans!$S$6:$S$21,ProposedLoans!$D$6:$D$21,$C$66,ProposedLoans!$Z$6:$Z$21,"*Aug*",ProposedLoans!$M$6:$M$21,ProposedLoansWkst!J$2)</f>
        <v>0</v>
      </c>
      <c r="K74" s="834">
        <f>SUMIFS(ProposedLoans!$S$6:$S$21,ProposedLoans!$D$6:$D$21,$C$66,ProposedLoans!$Z$6:$Z$21,"*Aug*",ProposedLoans!$M$6:$M$21,ProposedLoansWkst!K$2)</f>
        <v>0</v>
      </c>
      <c r="L74" s="834">
        <f>SUMIFS(ProposedLoans!$S$6:$S$21,ProposedLoans!$D$6:$D$21,$C$66,ProposedLoans!$Z$6:$Z$21,"*Aug*",ProposedLoans!$M$6:$M$21,ProposedLoansWkst!L$2)</f>
        <v>0</v>
      </c>
      <c r="M74" s="834">
        <f>SUMIFS(ProposedLoans!$F$6:$F$21,ProposedLoans!$D$6:$D$21,$C$66,ProposedLoans!$G$6:$G$21,"*Aug*")</f>
        <v>0</v>
      </c>
      <c r="O74" s="831" t="s">
        <v>11</v>
      </c>
      <c r="P74" s="834">
        <f>SUMIFS(ProposedLoans!$T$6:$T$21,ProposedLoans!$D$6:$D$21,$C$66,ProposedLoans!$Z$6:$Z$21,$C74,ProposedLoans!$M$6:$M$21,ProposedLoansWkst!I$2)</f>
        <v>0</v>
      </c>
      <c r="Q74" s="834">
        <f>SUMIFS(ProposedLoans!$T$6:$T$21,ProposedLoans!$D$6:$D$21,$C$66,ProposedLoans!$Z$6:$Z$21,"*Aug*",ProposedLoans!$M$6:$M$21,ProposedLoansWkst!Q$2)</f>
        <v>0</v>
      </c>
      <c r="R74" s="834">
        <f>SUMIFS(ProposedLoans!$T$6:$T$21,ProposedLoans!$D$6:$D$21,$C$66,ProposedLoans!$Z$6:$Z$21,"*Aug*",ProposedLoans!$M$6:$M$21,ProposedLoansWkst!R$2)</f>
        <v>0</v>
      </c>
      <c r="S74" s="834">
        <f>SUMIFS(ProposedLoans!$T$6:$T$21,ProposedLoans!$D$6:$D$21,$C$66,ProposedLoans!$Z$6:$Z$21,"*Aug*",ProposedLoans!$M$6:$M$21,ProposedLoansWkst!S$2)</f>
        <v>0</v>
      </c>
    </row>
    <row r="75" spans="2:19" x14ac:dyDescent="0.2">
      <c r="B75" s="835" t="s">
        <v>193</v>
      </c>
      <c r="C75" s="836" t="s">
        <v>12</v>
      </c>
      <c r="D75" s="837">
        <f>SUM(ProposedLoansWkst!$I75:$L75)</f>
        <v>0</v>
      </c>
      <c r="E75" s="838">
        <f>SUM(ProposedLoansWkst!$P75:$S75)</f>
        <v>0</v>
      </c>
      <c r="F75" s="838">
        <f>SUM(ProposedLoansWkst!$M75)</f>
        <v>0</v>
      </c>
      <c r="H75" s="835" t="s">
        <v>12</v>
      </c>
      <c r="I75" s="837">
        <f>SUMIFS(ProposedLoans!$S$6:$S$21,ProposedLoans!$D$6:$D$21,$C$66,ProposedLoans!$Z$6:$Z$21,$C75,ProposedLoans!$M$6:$M$21,ProposedLoansWkst!I$2)</f>
        <v>0</v>
      </c>
      <c r="J75" s="838">
        <f>SUMIFS(ProposedLoans!$S$6:$S$21,ProposedLoans!$D$6:$D$21,$C$66,ProposedLoans!$Z$6:$Z$21,"*Sep*",ProposedLoans!$M$6:$M$21,ProposedLoansWkst!J$2)</f>
        <v>0</v>
      </c>
      <c r="K75" s="838">
        <f>SUMIFS(ProposedLoans!$S$6:$S$21,ProposedLoans!$D$6:$D$21,$C$66,ProposedLoans!$Z$6:$Z$21,"*Sep*",ProposedLoans!$M$6:$M$21,ProposedLoansWkst!K$2)</f>
        <v>0</v>
      </c>
      <c r="L75" s="838">
        <f>SUMIFS(ProposedLoans!$S$6:$S$21,ProposedLoans!$D$6:$D$21,$C$66,ProposedLoans!$Z$6:$Z$21,"*Sep*",ProposedLoans!$M$6:$M$21,ProposedLoansWkst!L$2)</f>
        <v>0</v>
      </c>
      <c r="M75" s="838">
        <f>SUMIFS(ProposedLoans!$F$6:$F$21,ProposedLoans!$D$6:$D$21,$C$66,ProposedLoans!$G$6:$G$21,"*Sep*")</f>
        <v>0</v>
      </c>
      <c r="O75" s="835" t="s">
        <v>12</v>
      </c>
      <c r="P75" s="838">
        <f>SUMIFS(ProposedLoans!$T$6:$T$21,ProposedLoans!$D$6:$D$21,$C$66,ProposedLoans!$Z$6:$Z$21,$C75,ProposedLoans!$M$6:$M$21,ProposedLoansWkst!I$2)</f>
        <v>0</v>
      </c>
      <c r="Q75" s="838">
        <f>SUMIFS(ProposedLoans!$T$6:$T$21,ProposedLoans!$D$6:$D$21,$C$66,ProposedLoans!$Z$6:$Z$21,"*Sep*",ProposedLoans!$M$6:$M$21,ProposedLoansWkst!Q$2)</f>
        <v>0</v>
      </c>
      <c r="R75" s="838">
        <f>SUMIFS(ProposedLoans!$T$6:$T$21,ProposedLoans!$D$6:$D$21,$C$66,ProposedLoans!$Z$6:$Z$21,"*Sep*",ProposedLoans!$M$6:$M$21,ProposedLoansWkst!R$2)</f>
        <v>0</v>
      </c>
      <c r="S75" s="838">
        <f>SUMIFS(ProposedLoans!$T$6:$T$21,ProposedLoans!$D$6:$D$21,$C$66,ProposedLoans!$Z$6:$Z$21,"*Sep*",ProposedLoans!$M$6:$M$21,ProposedLoansWkst!S$2)</f>
        <v>0</v>
      </c>
    </row>
    <row r="76" spans="2:19" x14ac:dyDescent="0.2">
      <c r="B76" s="831" t="s">
        <v>194</v>
      </c>
      <c r="C76" s="839" t="s">
        <v>13</v>
      </c>
      <c r="D76" s="833">
        <f>SUM(ProposedLoansWkst!$I76:$L76)</f>
        <v>0</v>
      </c>
      <c r="E76" s="834">
        <f>SUM(ProposedLoansWkst!$P76:$S76)</f>
        <v>0</v>
      </c>
      <c r="F76" s="834">
        <f>SUM(ProposedLoansWkst!$M76)</f>
        <v>0</v>
      </c>
      <c r="H76" s="831" t="s">
        <v>13</v>
      </c>
      <c r="I76" s="833">
        <f>SUMIFS(ProposedLoans!$S$6:$S$21,ProposedLoans!$D$6:$D$21,$C$66,ProposedLoans!$Z$6:$Z$21,$C76,ProposedLoans!$M$6:$M$21,ProposedLoansWkst!I$2)</f>
        <v>0</v>
      </c>
      <c r="J76" s="834">
        <f>SUMIFS(ProposedLoans!$S$6:$S$21,ProposedLoans!$D$6:$D$21,$C$66,ProposedLoans!$Z$6:$Z$21,"*Oct*",ProposedLoans!$M$6:$M$21,ProposedLoansWkst!J$2)</f>
        <v>0</v>
      </c>
      <c r="K76" s="834">
        <f>SUMIFS(ProposedLoans!$S$6:$S$21,ProposedLoans!$D$6:$D$21,$C$66,ProposedLoans!$Z$6:$Z$21,"*Oct*",ProposedLoans!$M$6:$M$21,ProposedLoansWkst!K$2)</f>
        <v>0</v>
      </c>
      <c r="L76" s="834">
        <f>SUMIFS(ProposedLoans!$S$6:$S$21,ProposedLoans!$D$6:$D$21,$C$66,ProposedLoans!$Z$6:$Z$21,"*Oct*",ProposedLoans!$M$6:$M$21,ProposedLoansWkst!L$2)</f>
        <v>0</v>
      </c>
      <c r="M76" s="834">
        <f>SUMIFS(ProposedLoans!$F$6:$F$21,ProposedLoans!$D$6:$D$21,$C$66,ProposedLoans!$G$6:$G$21,"*Oct*")</f>
        <v>0</v>
      </c>
      <c r="O76" s="831" t="s">
        <v>13</v>
      </c>
      <c r="P76" s="834">
        <f>SUMIFS(ProposedLoans!$T$6:$T$21,ProposedLoans!$D$6:$D$21,$C$66,ProposedLoans!$Z$6:$Z$21,$C76,ProposedLoans!$M$6:$M$21,ProposedLoansWkst!I$2)</f>
        <v>0</v>
      </c>
      <c r="Q76" s="834">
        <f>SUMIFS(ProposedLoans!$T$6:$T$21,ProposedLoans!$D$6:$D$21,$C$66,ProposedLoans!$Z$6:$Z$21,"*Oct*",ProposedLoans!$M$6:$M$21,ProposedLoansWkst!Q$2)</f>
        <v>0</v>
      </c>
      <c r="R76" s="834">
        <f>SUMIFS(ProposedLoans!$T$6:$T$21,ProposedLoans!$D$6:$D$21,$C$66,ProposedLoans!$Z$6:$Z$21,"*Oct*",ProposedLoans!$M$6:$M$21,ProposedLoansWkst!R$2)</f>
        <v>0</v>
      </c>
      <c r="S76" s="834">
        <f>SUMIFS(ProposedLoans!$T$6:$T$21,ProposedLoans!$D$6:$D$21,$C$66,ProposedLoans!$Z$6:$Z$21,"*Oct*",ProposedLoans!$M$6:$M$21,ProposedLoansWkst!S$2)</f>
        <v>0</v>
      </c>
    </row>
    <row r="77" spans="2:19" x14ac:dyDescent="0.2">
      <c r="B77" s="835" t="s">
        <v>195</v>
      </c>
      <c r="C77" s="836" t="s">
        <v>14</v>
      </c>
      <c r="D77" s="837">
        <f>SUM(ProposedLoansWkst!$I77:$L77)</f>
        <v>0</v>
      </c>
      <c r="E77" s="838">
        <f>SUM(ProposedLoansWkst!$P77:$S77)</f>
        <v>0</v>
      </c>
      <c r="F77" s="838">
        <f>SUM(ProposedLoansWkst!$M77)</f>
        <v>0</v>
      </c>
      <c r="H77" s="835" t="s">
        <v>14</v>
      </c>
      <c r="I77" s="837">
        <f>SUMIFS(ProposedLoans!$S$6:$S$21,ProposedLoans!$D$6:$D$21,$C$66,ProposedLoans!$Z$6:$Z$21,$C77,ProposedLoans!$M$6:$M$21,ProposedLoansWkst!I$2)</f>
        <v>0</v>
      </c>
      <c r="J77" s="838">
        <f>SUMIFS(ProposedLoans!$S$6:$S$21,ProposedLoans!$D$6:$D$21,$C$66,ProposedLoans!$Z$6:$Z$21,"*Nov*",ProposedLoans!$M$6:$M$21,ProposedLoansWkst!J$2)</f>
        <v>0</v>
      </c>
      <c r="K77" s="838">
        <f>SUMIFS(ProposedLoans!$S$6:$S$21,ProposedLoans!$D$6:$D$21,$C$66,ProposedLoans!$Z$6:$Z$21,"*Nov*",ProposedLoans!$M$6:$M$21,ProposedLoansWkst!K$2)</f>
        <v>0</v>
      </c>
      <c r="L77" s="838">
        <f>SUMIFS(ProposedLoans!$S$6:$S$21,ProposedLoans!$D$6:$D$21,$C$66,ProposedLoans!$Z$6:$Z$21,"*Nov*",ProposedLoans!$M$6:$M$21,ProposedLoansWkst!L$2)</f>
        <v>0</v>
      </c>
      <c r="M77" s="838">
        <f>SUMIFS(ProposedLoans!$F$6:$F$21,ProposedLoans!$D$6:$D$21,$C$66,ProposedLoans!$G$6:$G$21,"*Nov*")</f>
        <v>0</v>
      </c>
      <c r="O77" s="835" t="s">
        <v>14</v>
      </c>
      <c r="P77" s="838">
        <f>SUMIFS(ProposedLoans!$T$6:$T$21,ProposedLoans!$D$6:$D$21,$C$66,ProposedLoans!$Z$6:$Z$21,$C77,ProposedLoans!$M$6:$M$21,ProposedLoansWkst!I$2)</f>
        <v>0</v>
      </c>
      <c r="Q77" s="838">
        <f>SUMIFS(ProposedLoans!$T$6:$T$21,ProposedLoans!$D$6:$D$21,$C$66,ProposedLoans!$Z$6:$Z$21,"*Nov*",ProposedLoans!$M$6:$M$21,ProposedLoansWkst!Q$2)</f>
        <v>0</v>
      </c>
      <c r="R77" s="838">
        <f>SUMIFS(ProposedLoans!$T$6:$T$21,ProposedLoans!$D$6:$D$21,$C$66,ProposedLoans!$Z$6:$Z$21,"*Nov*",ProposedLoans!$M$6:$M$21,ProposedLoansWkst!R$2)</f>
        <v>0</v>
      </c>
      <c r="S77" s="838">
        <f>SUMIFS(ProposedLoans!$T$6:$T$21,ProposedLoans!$D$6:$D$21,$C$66,ProposedLoans!$Z$6:$Z$21,"*Nov*",ProposedLoans!$M$6:$M$21,ProposedLoansWkst!S$2)</f>
        <v>0</v>
      </c>
    </row>
    <row r="78" spans="2:19" ht="13.5" thickBot="1" x14ac:dyDescent="0.25">
      <c r="B78" s="831" t="s">
        <v>196</v>
      </c>
      <c r="C78" s="839" t="s">
        <v>15</v>
      </c>
      <c r="D78" s="833">
        <f>SUM(ProposedLoansWkst!$I78:$L78)</f>
        <v>0</v>
      </c>
      <c r="E78" s="834">
        <f>SUM(ProposedLoansWkst!$P78:$S78)</f>
        <v>0</v>
      </c>
      <c r="F78" s="834">
        <f>SUM(ProposedLoansWkst!$M78)</f>
        <v>0</v>
      </c>
      <c r="H78" s="831" t="s">
        <v>15</v>
      </c>
      <c r="I78" s="833">
        <f>SUMIFS(ProposedLoans!$S$6:$S$21,ProposedLoans!$D$6:$D$21,$C$66,ProposedLoans!$Z$6:$Z$21,$C78,ProposedLoans!$M$6:$M$21,ProposedLoansWkst!I$2)</f>
        <v>0</v>
      </c>
      <c r="J78" s="834">
        <f>SUMIFS(ProposedLoans!$S$6:$S$21,ProposedLoans!$D$6:$D$21,$C$66,ProposedLoans!$Z$6:$Z$21,"*Dec*",ProposedLoans!$M$6:$M$21,ProposedLoansWkst!J$2)</f>
        <v>0</v>
      </c>
      <c r="K78" s="834">
        <f>SUMIFS(ProposedLoans!$S$6:$S$21,ProposedLoans!$D$6:$D$21,$C$66,ProposedLoans!$Z$6:$Z$21,"*Dec*",ProposedLoans!$M$6:$M$21,ProposedLoansWkst!K$2)</f>
        <v>0</v>
      </c>
      <c r="L78" s="834">
        <f>SUMIFS(ProposedLoans!$S$6:$S$21,ProposedLoans!$D$6:$D$21,$C$66,ProposedLoans!$Z$6:$Z$21,"*Dec*",ProposedLoans!$M$6:$M$21,ProposedLoansWkst!L$2)</f>
        <v>0</v>
      </c>
      <c r="M78" s="834">
        <f>SUMIFS(ProposedLoans!$F$6:$F$21,ProposedLoans!$D$6:$D$21,$C$66,ProposedLoans!$G$6:$G$21,"*Dec*")</f>
        <v>0</v>
      </c>
      <c r="O78" s="831" t="s">
        <v>15</v>
      </c>
      <c r="P78" s="834">
        <f>SUMIFS(ProposedLoans!$T$6:$T$21,ProposedLoans!$D$6:$D$21,$C$66,ProposedLoans!$Z$6:$Z$21,$C78,ProposedLoans!$M$6:$M$21,ProposedLoansWkst!I$2)</f>
        <v>0</v>
      </c>
      <c r="Q78" s="834">
        <f>SUMIFS(ProposedLoans!$T$6:$T$21,ProposedLoans!$D$6:$D$21,$C$66,ProposedLoans!$Z$6:$Z$21,"*Dec*",ProposedLoans!$M$6:$M$21,ProposedLoansWkst!Q$2)</f>
        <v>0</v>
      </c>
      <c r="R78" s="834">
        <f>SUMIFS(ProposedLoans!$T$6:$T$21,ProposedLoans!$D$6:$D$21,$C$66,ProposedLoans!$Z$6:$Z$21,"*Dec*",ProposedLoans!$M$6:$M$21,ProposedLoansWkst!R$2)</f>
        <v>0</v>
      </c>
      <c r="S78" s="834">
        <f>SUMIFS(ProposedLoans!$T$6:$T$21,ProposedLoans!$D$6:$D$21,$C$66,ProposedLoans!$Z$6:$Z$21,"*Dec*",ProposedLoans!$M$6:$M$21,ProposedLoansWkst!S$2)</f>
        <v>0</v>
      </c>
    </row>
    <row r="79" spans="2:19" ht="13.5" thickTop="1" x14ac:dyDescent="0.2">
      <c r="B79" s="840"/>
      <c r="C79" s="841"/>
      <c r="D79" s="842">
        <f>SUM(ProposedLoansWkst!$D$67:$D$78)</f>
        <v>0</v>
      </c>
      <c r="E79" s="824">
        <f>SUM(ProposedLoansWkst!$E$67:$E$78)</f>
        <v>0</v>
      </c>
      <c r="F79" s="823">
        <f>SUM(ProposedLoansWkst!$F$67:$F$78)</f>
        <v>0</v>
      </c>
      <c r="H79" s="845"/>
      <c r="I79" s="823">
        <f>SUM(ProposedLoansWkst!$I$67:$I$78)</f>
        <v>0</v>
      </c>
      <c r="J79" s="823">
        <f>SUM(ProposedLoansWkst!$J$67:$J$78)</f>
        <v>0</v>
      </c>
      <c r="K79" s="823">
        <f>SUM(ProposedLoansWkst!$K$67:$K$78)</f>
        <v>0</v>
      </c>
      <c r="L79" s="823">
        <f>SUM(ProposedLoansWkst!$L$67:$L$78)</f>
        <v>0</v>
      </c>
      <c r="M79" s="823">
        <f>SUM(ProposedLoansWkst!$M$67:$M$78)</f>
        <v>0</v>
      </c>
      <c r="O79" s="845"/>
      <c r="P79" s="823">
        <f>SUM(ProposedLoansWkst!$P$67:$P$78)</f>
        <v>0</v>
      </c>
      <c r="Q79" s="823">
        <f>SUM(ProposedLoansWkst!$Q$67:$Q$78)</f>
        <v>0</v>
      </c>
      <c r="R79" s="823">
        <f>SUM(ProposedLoansWkst!$R$67:$R$78)</f>
        <v>0</v>
      </c>
      <c r="S79" s="823">
        <f>SUM(ProposedLoansWkst!$S$67:$S$78)</f>
        <v>0</v>
      </c>
    </row>
    <row r="82" spans="2:19" ht="13.5" thickBot="1" x14ac:dyDescent="0.25">
      <c r="B82" s="825" t="s">
        <v>126</v>
      </c>
      <c r="C82" s="826" t="s">
        <v>215</v>
      </c>
      <c r="D82" s="826" t="s">
        <v>179</v>
      </c>
      <c r="E82" s="826" t="s">
        <v>180</v>
      </c>
      <c r="F82" s="826" t="s">
        <v>213</v>
      </c>
      <c r="H82" s="825" t="s">
        <v>200</v>
      </c>
      <c r="I82" s="826" t="s">
        <v>105</v>
      </c>
      <c r="J82" s="826" t="s">
        <v>103</v>
      </c>
      <c r="K82" s="826" t="s">
        <v>101</v>
      </c>
      <c r="L82" s="826" t="s">
        <v>100</v>
      </c>
      <c r="M82" s="826" t="s">
        <v>213</v>
      </c>
      <c r="N82" s="57"/>
      <c r="O82" s="825" t="s">
        <v>200</v>
      </c>
      <c r="P82" s="846" t="s">
        <v>105</v>
      </c>
      <c r="Q82" s="846" t="s">
        <v>103</v>
      </c>
      <c r="R82" s="846" t="s">
        <v>101</v>
      </c>
      <c r="S82" s="846" t="s">
        <v>100</v>
      </c>
    </row>
    <row r="83" spans="2:19" ht="13.5" thickTop="1" x14ac:dyDescent="0.2">
      <c r="B83" s="827" t="s">
        <v>186</v>
      </c>
      <c r="C83" s="828" t="s">
        <v>5</v>
      </c>
      <c r="D83" s="829">
        <f>SUM(ProposedLoansWkst!$I83:$L83)</f>
        <v>0</v>
      </c>
      <c r="E83" s="830">
        <f>SUM(ProposedLoansWkst!$P83:$S83)</f>
        <v>0</v>
      </c>
      <c r="F83" s="830">
        <f>SUM(ProposedLoansWkst!$M83)</f>
        <v>0</v>
      </c>
      <c r="H83" s="843" t="s">
        <v>5</v>
      </c>
      <c r="I83" s="829">
        <f>SUMIFS(ProposedLoans!$S$6:$S$21,ProposedLoans!$D$6:$D$21,$C$82,ProposedLoans!$Z$6:$Z$21,$C83,ProposedLoans!$M$6:$M$21,ProposedLoansWkst!I$2)</f>
        <v>0</v>
      </c>
      <c r="J83" s="830">
        <f>SUMIFS(ProposedLoans!$S$6:$S$21,ProposedLoans!$D$6:$D$21,$C$82,ProposedLoans!$Z$6:$Z$21,"*Jan*",ProposedLoans!$M$6:$M$21,ProposedLoansWkst!J$2)</f>
        <v>0</v>
      </c>
      <c r="K83" s="830">
        <f>SUMIFS(ProposedLoans!$S$6:$S$21,ProposedLoans!$D$6:$D$21,$C$82,ProposedLoans!$Z$6:$Z$21,"*Jan*",ProposedLoans!$M$6:$M$21,ProposedLoansWkst!K$2)</f>
        <v>0</v>
      </c>
      <c r="L83" s="830">
        <f>SUMIFS(ProposedLoans!$S$6:$S$21,ProposedLoans!$D$6:$D$21,$C$82,ProposedLoans!$Z$6:$Z$21,"*Jan*",ProposedLoans!$M$6:$M$21,ProposedLoansWkst!L$2)</f>
        <v>0</v>
      </c>
      <c r="M83" s="830">
        <f>SUMIFS(ProposedLoans!$F$6:$F$21,ProposedLoans!$D$6:$D$21,$C$82,ProposedLoans!$G$6:$G$21,"*Jan*")</f>
        <v>0</v>
      </c>
      <c r="O83" s="843" t="s">
        <v>5</v>
      </c>
      <c r="P83" s="830">
        <f>SUMIFS(ProposedLoans!$T$6:$T$21,ProposedLoans!$D$6:$D$21,$C$82,ProposedLoans!$Z$6:$Z$21,$C83,ProposedLoans!$M$6:$M$21,ProposedLoansWkst!I$2)</f>
        <v>0</v>
      </c>
      <c r="Q83" s="830">
        <f>SUMIFS(ProposedLoans!$T$6:$T$21,ProposedLoans!$D$6:$D$21,$C$82,ProposedLoans!$Z$6:$Z$21,"*Jan*",ProposedLoans!$M$6:$M$21,ProposedLoansWkst!Q$2)</f>
        <v>0</v>
      </c>
      <c r="R83" s="830">
        <f>SUMIFS(ProposedLoans!$T$6:$T$21,ProposedLoans!$D$6:$D$21,$C$82,ProposedLoans!$Z$6:$Z$21,"*Jan*",ProposedLoans!$M$6:$M$21,ProposedLoansWkst!R$2)</f>
        <v>0</v>
      </c>
      <c r="S83" s="830">
        <f>SUMIFS(ProposedLoans!$T$6:$T$21,ProposedLoans!$D$6:$D$21,$C$82,ProposedLoans!$Z$6:$Z$21,"*Jan*",ProposedLoans!$M$6:$M$21,ProposedLoansWkst!S$2)</f>
        <v>0</v>
      </c>
    </row>
    <row r="84" spans="2:19" x14ac:dyDescent="0.2">
      <c r="B84" s="831" t="s">
        <v>187</v>
      </c>
      <c r="C84" s="832" t="s">
        <v>6</v>
      </c>
      <c r="D84" s="833">
        <f>SUM(ProposedLoansWkst!$I84:$L84)</f>
        <v>0</v>
      </c>
      <c r="E84" s="834">
        <f>SUM(ProposedLoansWkst!$P84:$S84)</f>
        <v>0</v>
      </c>
      <c r="F84" s="834">
        <f>SUM(ProposedLoansWkst!$M84)</f>
        <v>0</v>
      </c>
      <c r="H84" s="844" t="s">
        <v>6</v>
      </c>
      <c r="I84" s="833">
        <f>SUMIFS(ProposedLoans!$S$6:$S$21,ProposedLoans!$D$6:$D$21,$C$82,ProposedLoans!$Z$6:$Z$21,$C84,ProposedLoans!$M$6:$M$21,ProposedLoansWkst!I$2)</f>
        <v>0</v>
      </c>
      <c r="J84" s="834">
        <f>SUMIFS(ProposedLoans!$S$6:$S$21,ProposedLoans!$D$6:$D$21,$C$82,ProposedLoans!$Z$6:$Z$21,"*Feb*",ProposedLoans!$M$6:$M$21,ProposedLoansWkst!J$2)</f>
        <v>0</v>
      </c>
      <c r="K84" s="834">
        <f>SUMIFS(ProposedLoans!$S$6:$S$21,ProposedLoans!$D$6:$D$21,$C$82,ProposedLoans!$Z$6:$Z$21,"*Feb*",ProposedLoans!$M$6:$M$21,ProposedLoansWkst!K$2)</f>
        <v>0</v>
      </c>
      <c r="L84" s="834">
        <f>SUMIFS(ProposedLoans!$S$6:$S$21,ProposedLoans!$D$6:$D$21,$C$82,ProposedLoans!$Z$6:$Z$21,"*Feb*",ProposedLoans!$M$6:$M$21,ProposedLoansWkst!L$2)</f>
        <v>0</v>
      </c>
      <c r="M84" s="834">
        <f>SUMIFS(ProposedLoans!$F$6:$F$21,ProposedLoans!$D$6:$D$21,$C$82,ProposedLoans!$G$6:$G$21,"*Feb*")</f>
        <v>0</v>
      </c>
      <c r="O84" s="844" t="s">
        <v>6</v>
      </c>
      <c r="P84" s="834">
        <f>SUMIFS(ProposedLoans!$T$6:$T$21,ProposedLoans!$D$6:$D$21,$C$82,ProposedLoans!$Z$6:$Z$21,$C84,ProposedLoans!$M$6:$M$21,ProposedLoansWkst!I$2)</f>
        <v>0</v>
      </c>
      <c r="Q84" s="834">
        <f>SUMIFS(ProposedLoans!$T$6:$T$21,ProposedLoans!$D$6:$D$21,$C$82,ProposedLoans!$Z$6:$Z$21,"*Feb*",ProposedLoans!$M$6:$M$21,ProposedLoansWkst!Q$2)</f>
        <v>0</v>
      </c>
      <c r="R84" s="834">
        <f>SUMIFS(ProposedLoans!$T$6:$T$21,ProposedLoans!$D$6:$D$21,$C$82,ProposedLoans!$Z$6:$Z$21,"*Feb*",ProposedLoans!$M$6:$M$21,ProposedLoansWkst!R$2)</f>
        <v>0</v>
      </c>
      <c r="S84" s="834">
        <f>SUMIFS(ProposedLoans!$T$6:$T$21,ProposedLoans!$D$6:$D$21,$C$82,ProposedLoans!$Z$6:$Z$21,"*Feb*",ProposedLoans!$M$6:$M$21,ProposedLoansWkst!S$2)</f>
        <v>0</v>
      </c>
    </row>
    <row r="85" spans="2:19" x14ac:dyDescent="0.2">
      <c r="B85" s="835" t="s">
        <v>188</v>
      </c>
      <c r="C85" s="836" t="s">
        <v>7</v>
      </c>
      <c r="D85" s="837">
        <f>SUM(ProposedLoansWkst!$I85:$L85)</f>
        <v>0</v>
      </c>
      <c r="E85" s="838">
        <f>SUM(ProposedLoansWkst!$P85:$S85)</f>
        <v>0</v>
      </c>
      <c r="F85" s="838">
        <f>SUM(ProposedLoansWkst!$M85)</f>
        <v>0</v>
      </c>
      <c r="H85" s="835" t="s">
        <v>7</v>
      </c>
      <c r="I85" s="837">
        <f>SUMIFS(ProposedLoans!$S$6:$S$21,ProposedLoans!$D$6:$D$21,$C$82,ProposedLoans!$Z$6:$Z$21,$C85,ProposedLoans!$M$6:$M$21,ProposedLoansWkst!I$2)</f>
        <v>0</v>
      </c>
      <c r="J85" s="838">
        <f>SUMIFS(ProposedLoans!$S$6:$S$21,ProposedLoans!$D$6:$D$21,$C$82,ProposedLoans!$Z$6:$Z$21,"*Mar*",ProposedLoans!$M$6:$M$21,ProposedLoansWkst!J$2)</f>
        <v>0</v>
      </c>
      <c r="K85" s="838">
        <f>SUMIFS(ProposedLoans!$S$6:$S$21,ProposedLoans!$D$6:$D$21,$C$82,ProposedLoans!$Z$6:$Z$21,"*Mar*",ProposedLoans!$M$6:$M$21,ProposedLoansWkst!K$2)</f>
        <v>0</v>
      </c>
      <c r="L85" s="838">
        <f>SUMIFS(ProposedLoans!$S$6:$S$21,ProposedLoans!$D$6:$D$21,$C$82,ProposedLoans!$Z$6:$Z$21,"*Mar*",ProposedLoans!$M$6:$M$21,ProposedLoansWkst!L$2)</f>
        <v>0</v>
      </c>
      <c r="M85" s="838">
        <f>SUMIFS(ProposedLoans!$F$6:$F$21,ProposedLoans!$D$6:$D$21,$C$82,ProposedLoans!$G$6:$G$21,"*Mar*")</f>
        <v>0</v>
      </c>
      <c r="O85" s="835" t="s">
        <v>7</v>
      </c>
      <c r="P85" s="838">
        <f>SUMIFS(ProposedLoans!$T$6:$T$21,ProposedLoans!$D$6:$D$21,$C$82,ProposedLoans!$Z$6:$Z$21,$C85,ProposedLoans!$M$6:$M$21,ProposedLoansWkst!I$2)</f>
        <v>0</v>
      </c>
      <c r="Q85" s="838">
        <f>SUMIFS(ProposedLoans!$T$6:$T$21,ProposedLoans!$D$6:$D$21,$C$82,ProposedLoans!$Z$6:$Z$21,"*Mar*",ProposedLoans!$M$6:$M$21,ProposedLoansWkst!Q$2)</f>
        <v>0</v>
      </c>
      <c r="R85" s="838">
        <f>SUMIFS(ProposedLoans!$T$6:$T$21,ProposedLoans!$D$6:$D$21,$C$82,ProposedLoans!$Z$6:$Z$21,"*Mar*",ProposedLoans!$M$6:$M$21,ProposedLoansWkst!R$2)</f>
        <v>0</v>
      </c>
      <c r="S85" s="838">
        <f>SUMIFS(ProposedLoans!$T$6:$T$21,ProposedLoans!$D$6:$D$21,$C$82,ProposedLoans!$Z$6:$Z$21,"*Mar*",ProposedLoans!$M$6:$M$21,ProposedLoansWkst!S$2)</f>
        <v>0</v>
      </c>
    </row>
    <row r="86" spans="2:19" x14ac:dyDescent="0.2">
      <c r="B86" s="831" t="s">
        <v>189</v>
      </c>
      <c r="C86" s="839" t="s">
        <v>8</v>
      </c>
      <c r="D86" s="833">
        <f>SUM(ProposedLoansWkst!$I86:$L86)</f>
        <v>0</v>
      </c>
      <c r="E86" s="834">
        <f>SUM(ProposedLoansWkst!$P86:$S86)</f>
        <v>0</v>
      </c>
      <c r="F86" s="834">
        <f>SUM(ProposedLoansWkst!$M86)</f>
        <v>0</v>
      </c>
      <c r="H86" s="831" t="s">
        <v>8</v>
      </c>
      <c r="I86" s="833">
        <f>SUMIFS(ProposedLoans!$S$6:$S$21,ProposedLoans!$D$6:$D$21,$C$82,ProposedLoans!$Z$6:$Z$21,$C86,ProposedLoans!$M$6:$M$21,ProposedLoansWkst!I$2)</f>
        <v>0</v>
      </c>
      <c r="J86" s="834">
        <f>SUMIFS(ProposedLoans!$S$6:$S$21,ProposedLoans!$D$6:$D$21,$C$82,ProposedLoans!$Z$6:$Z$21,"*Apr*",ProposedLoans!$M$6:$M$21,ProposedLoansWkst!J$2)</f>
        <v>0</v>
      </c>
      <c r="K86" s="834">
        <f>SUMIFS(ProposedLoans!$S$6:$S$21,ProposedLoans!$D$6:$D$21,$C$82,ProposedLoans!$Z$6:$Z$21,"*Apr*",ProposedLoans!$M$6:$M$21,ProposedLoansWkst!K$2)</f>
        <v>0</v>
      </c>
      <c r="L86" s="834">
        <f>SUMIFS(ProposedLoans!$S$6:$S$21,ProposedLoans!$D$6:$D$21,$C$82,ProposedLoans!$Z$6:$Z$21,"*Apr*",ProposedLoans!$M$6:$M$21,ProposedLoansWkst!L$2)</f>
        <v>0</v>
      </c>
      <c r="M86" s="834">
        <f>SUMIFS(ProposedLoans!$F$6:$F$21,ProposedLoans!$D$6:$D$21,$C$82,ProposedLoans!$G$6:$G$21,"*Apr*")</f>
        <v>0</v>
      </c>
      <c r="O86" s="831" t="s">
        <v>8</v>
      </c>
      <c r="P86" s="834">
        <f>SUMIFS(ProposedLoans!$T$6:$T$21,ProposedLoans!$D$6:$D$21,$C$82,ProposedLoans!$Z$6:$Z$21,$C86,ProposedLoans!$M$6:$M$21,ProposedLoansWkst!I$2)</f>
        <v>0</v>
      </c>
      <c r="Q86" s="834">
        <f>SUMIFS(ProposedLoans!$T$6:$T$21,ProposedLoans!$D$6:$D$21,$C$82,ProposedLoans!$Z$6:$Z$21,"*Apr*",ProposedLoans!$M$6:$M$21,ProposedLoansWkst!Q$2)</f>
        <v>0</v>
      </c>
      <c r="R86" s="834">
        <f>SUMIFS(ProposedLoans!$T$6:$T$21,ProposedLoans!$D$6:$D$21,$C$82,ProposedLoans!$Z$6:$Z$21,"*Apr*",ProposedLoans!$M$6:$M$21,ProposedLoansWkst!R$2)</f>
        <v>0</v>
      </c>
      <c r="S86" s="834">
        <f>SUMIFS(ProposedLoans!$T$6:$T$21,ProposedLoans!$D$6:$D$21,$C$82,ProposedLoans!$Z$6:$Z$21,"*Apr*",ProposedLoans!$M$6:$M$21,ProposedLoansWkst!S$2)</f>
        <v>0</v>
      </c>
    </row>
    <row r="87" spans="2:19" x14ac:dyDescent="0.2">
      <c r="B87" s="835" t="s">
        <v>4</v>
      </c>
      <c r="C87" s="836" t="s">
        <v>4</v>
      </c>
      <c r="D87" s="837">
        <f>SUM(ProposedLoansWkst!$I87:$L87)</f>
        <v>0</v>
      </c>
      <c r="E87" s="838">
        <f>SUM(ProposedLoansWkst!$P87:$S87)</f>
        <v>0</v>
      </c>
      <c r="F87" s="838">
        <f>SUM(ProposedLoansWkst!$M87)</f>
        <v>0</v>
      </c>
      <c r="H87" s="835" t="s">
        <v>4</v>
      </c>
      <c r="I87" s="837">
        <f>SUMIFS(ProposedLoans!$S$6:$S$21,ProposedLoans!$D$6:$D$21,$C$82,ProposedLoans!$Z$6:$Z$21,$C87,ProposedLoans!$M$6:$M$21,ProposedLoansWkst!I$2)</f>
        <v>0</v>
      </c>
      <c r="J87" s="838">
        <f>SUMIFS(ProposedLoans!$S$6:$S$21,ProposedLoans!$D$6:$D$21,$C$82,ProposedLoans!$Z$6:$Z$21,"*May*",ProposedLoans!$M$6:$M$21,ProposedLoansWkst!J$2)</f>
        <v>0</v>
      </c>
      <c r="K87" s="838">
        <f>SUMIFS(ProposedLoans!$S$6:$S$21,ProposedLoans!$D$6:$D$21,$C$82,ProposedLoans!$Z$6:$Z$21,"*May*",ProposedLoans!$M$6:$M$21,ProposedLoansWkst!K$2)</f>
        <v>0</v>
      </c>
      <c r="L87" s="838">
        <f>SUMIFS(ProposedLoans!$S$6:$S$21,ProposedLoans!$D$6:$D$21,$C$82,ProposedLoans!$Z$6:$Z$21,"*May*",ProposedLoans!$M$6:$M$21,ProposedLoansWkst!L$2)</f>
        <v>0</v>
      </c>
      <c r="M87" s="838">
        <f>SUMIFS(ProposedLoans!$F$6:$F$21,ProposedLoans!$D$6:$D$21,$C$82,ProposedLoans!$G$6:$G$21,"*May*")</f>
        <v>0</v>
      </c>
      <c r="O87" s="835" t="s">
        <v>4</v>
      </c>
      <c r="P87" s="838">
        <f>SUMIFS(ProposedLoans!$T$6:$T$21,ProposedLoans!$D$6:$D$21,$C$82,ProposedLoans!$Z$6:$Z$21,$C87,ProposedLoans!$M$6:$M$21,ProposedLoansWkst!I$2)</f>
        <v>0</v>
      </c>
      <c r="Q87" s="838">
        <f>SUMIFS(ProposedLoans!$T$6:$T$21,ProposedLoans!$D$6:$D$21,$C$82,ProposedLoans!$Z$6:$Z$21,"*May*",ProposedLoans!$M$6:$M$21,ProposedLoansWkst!Q$2)</f>
        <v>0</v>
      </c>
      <c r="R87" s="838">
        <f>SUMIFS(ProposedLoans!$T$6:$T$21,ProposedLoans!$D$6:$D$21,$C$82,ProposedLoans!$Z$6:$Z$21,"*May*",ProposedLoans!$M$6:$M$21,ProposedLoansWkst!R$2)</f>
        <v>0</v>
      </c>
      <c r="S87" s="838">
        <f>SUMIFS(ProposedLoans!$T$6:$T$21,ProposedLoans!$D$6:$D$21,$C$82,ProposedLoans!$Z$6:$Z$21,"*May*",ProposedLoans!$M$6:$M$21,ProposedLoansWkst!S$2)</f>
        <v>0</v>
      </c>
    </row>
    <row r="88" spans="2:19" x14ac:dyDescent="0.2">
      <c r="B88" s="831" t="s">
        <v>190</v>
      </c>
      <c r="C88" s="839" t="s">
        <v>9</v>
      </c>
      <c r="D88" s="833">
        <f>SUM(ProposedLoansWkst!$I88:$L88)</f>
        <v>0</v>
      </c>
      <c r="E88" s="834">
        <f>SUM(ProposedLoansWkst!$P88:$S88)</f>
        <v>0</v>
      </c>
      <c r="F88" s="834">
        <f>SUM(ProposedLoansWkst!$M88)</f>
        <v>0</v>
      </c>
      <c r="H88" s="831" t="s">
        <v>9</v>
      </c>
      <c r="I88" s="833">
        <f>SUMIFS(ProposedLoans!$S$6:$S$21,ProposedLoans!$D$6:$D$21,$C$82,ProposedLoans!$Z$6:$Z$21,$C88,ProposedLoans!$M$6:$M$21,ProposedLoansWkst!I$2)</f>
        <v>0</v>
      </c>
      <c r="J88" s="834">
        <f>SUMIFS(ProposedLoans!$S$6:$S$21,ProposedLoans!$D$6:$D$21,$C$82,ProposedLoans!$Z$6:$Z$21,"*Jun*",ProposedLoans!$M$6:$M$21,ProposedLoansWkst!J$2)</f>
        <v>0</v>
      </c>
      <c r="K88" s="834">
        <f>SUMIFS(ProposedLoans!$S$6:$S$21,ProposedLoans!$D$6:$D$21,$C$82,ProposedLoans!$Z$6:$Z$21,"*Jun*",ProposedLoans!$M$6:$M$21,ProposedLoansWkst!K$2)</f>
        <v>0</v>
      </c>
      <c r="L88" s="834">
        <f>SUMIFS(ProposedLoans!$S$6:$S$21,ProposedLoans!$D$6:$D$21,$C$82,ProposedLoans!$Z$6:$Z$21,"*Jun*",ProposedLoans!$M$6:$M$21,ProposedLoansWkst!L$2)</f>
        <v>0</v>
      </c>
      <c r="M88" s="834">
        <f>SUMIFS(ProposedLoans!$F$6:$F$21,ProposedLoans!$D$6:$D$21,$C$82,ProposedLoans!$G$6:$G$21,"*Jun*")</f>
        <v>0</v>
      </c>
      <c r="O88" s="831" t="s">
        <v>9</v>
      </c>
      <c r="P88" s="834">
        <f>SUMIFS(ProposedLoans!$T$6:$T$21,ProposedLoans!$D$6:$D$21,$C$82,ProposedLoans!$Z$6:$Z$21,$C88,ProposedLoans!$M$6:$M$21,ProposedLoansWkst!I$2)</f>
        <v>0</v>
      </c>
      <c r="Q88" s="834">
        <f>SUMIFS(ProposedLoans!$T$6:$T$21,ProposedLoans!$D$6:$D$21,$C$82,ProposedLoans!$Z$6:$Z$21,"*Jun*",ProposedLoans!$M$6:$M$21,ProposedLoansWkst!Q$2)</f>
        <v>0</v>
      </c>
      <c r="R88" s="834">
        <f>SUMIFS(ProposedLoans!$T$6:$T$21,ProposedLoans!$D$6:$D$21,$C$82,ProposedLoans!$Z$6:$Z$21,"*Jun*",ProposedLoans!$M$6:$M$21,ProposedLoansWkst!R$2)</f>
        <v>0</v>
      </c>
      <c r="S88" s="834">
        <f>SUMIFS(ProposedLoans!$T$6:$T$21,ProposedLoans!$D$6:$D$21,$C$82,ProposedLoans!$Z$6:$Z$21,"*Jun*",ProposedLoans!$M$6:$M$21,ProposedLoansWkst!S$2)</f>
        <v>0</v>
      </c>
    </row>
    <row r="89" spans="2:19" x14ac:dyDescent="0.2">
      <c r="B89" s="835" t="s">
        <v>191</v>
      </c>
      <c r="C89" s="836" t="s">
        <v>10</v>
      </c>
      <c r="D89" s="837">
        <f>SUM(ProposedLoansWkst!$I89:$L89)</f>
        <v>0</v>
      </c>
      <c r="E89" s="838">
        <f>SUM(ProposedLoansWkst!$P89:$S89)</f>
        <v>0</v>
      </c>
      <c r="F89" s="838">
        <f>SUM(ProposedLoansWkst!$M89)</f>
        <v>0</v>
      </c>
      <c r="H89" s="835" t="s">
        <v>10</v>
      </c>
      <c r="I89" s="837">
        <f>SUMIFS(ProposedLoans!$S$6:$S$21,ProposedLoans!$D$6:$D$21,$C$82,ProposedLoans!$Z$6:$Z$21,$C89,ProposedLoans!$M$6:$M$21,ProposedLoansWkst!I$2)</f>
        <v>0</v>
      </c>
      <c r="J89" s="838">
        <f>SUMIFS(ProposedLoans!$S$6:$S$21,ProposedLoans!$D$6:$D$21,$C$82,ProposedLoans!$Z$6:$Z$21,"*Jul*",ProposedLoans!$M$6:$M$21,ProposedLoansWkst!J$2)</f>
        <v>0</v>
      </c>
      <c r="K89" s="838">
        <f>SUMIFS(ProposedLoans!$S$6:$S$21,ProposedLoans!$D$6:$D$21,$C$82,ProposedLoans!$Z$6:$Z$21,"*Jul*",ProposedLoans!$M$6:$M$21,ProposedLoansWkst!K$2)</f>
        <v>0</v>
      </c>
      <c r="L89" s="838">
        <f>SUMIFS(ProposedLoans!$S$6:$S$21,ProposedLoans!$D$6:$D$21,$C$82,ProposedLoans!$Z$6:$Z$21,"*Jul*",ProposedLoans!$M$6:$M$21,ProposedLoansWkst!L$2)</f>
        <v>0</v>
      </c>
      <c r="M89" s="838">
        <f>SUMIFS(ProposedLoans!$F$6:$F$21,ProposedLoans!$D$6:$D$21,$C$82,ProposedLoans!$G$6:$G$21,"*Jul*")</f>
        <v>0</v>
      </c>
      <c r="O89" s="835" t="s">
        <v>10</v>
      </c>
      <c r="P89" s="838">
        <f>SUMIFS(ProposedLoans!$T$6:$T$21,ProposedLoans!$D$6:$D$21,$C$82,ProposedLoans!$Z$6:$Z$21,$C89,ProposedLoans!$M$6:$M$21,ProposedLoansWkst!I$2)</f>
        <v>0</v>
      </c>
      <c r="Q89" s="838">
        <f>SUMIFS(ProposedLoans!$T$6:$T$21,ProposedLoans!$D$6:$D$21,$C$82,ProposedLoans!$Z$6:$Z$21,"*Jul*",ProposedLoans!$M$6:$M$21,ProposedLoansWkst!Q$2)</f>
        <v>0</v>
      </c>
      <c r="R89" s="838">
        <f>SUMIFS(ProposedLoans!$T$6:$T$21,ProposedLoans!$D$6:$D$21,$C$82,ProposedLoans!$Z$6:$Z$21,"*Jul*",ProposedLoans!$M$6:$M$21,ProposedLoansWkst!R$2)</f>
        <v>0</v>
      </c>
      <c r="S89" s="838">
        <f>SUMIFS(ProposedLoans!$T$6:$T$21,ProposedLoans!$D$6:$D$21,$C$82,ProposedLoans!$Z$6:$Z$21,"*Jul*",ProposedLoans!$M$6:$M$21,ProposedLoansWkst!S$2)</f>
        <v>0</v>
      </c>
    </row>
    <row r="90" spans="2:19" x14ac:dyDescent="0.2">
      <c r="B90" s="831" t="s">
        <v>192</v>
      </c>
      <c r="C90" s="839" t="s">
        <v>11</v>
      </c>
      <c r="D90" s="833">
        <f>SUM(ProposedLoansWkst!$I90:$L90)</f>
        <v>0</v>
      </c>
      <c r="E90" s="834">
        <f>SUM(ProposedLoansWkst!$P90:$S90)</f>
        <v>0</v>
      </c>
      <c r="F90" s="834">
        <f>SUM(ProposedLoansWkst!$M90)</f>
        <v>0</v>
      </c>
      <c r="H90" s="831" t="s">
        <v>11</v>
      </c>
      <c r="I90" s="833">
        <f>SUMIFS(ProposedLoans!$S$6:$S$21,ProposedLoans!$D$6:$D$21,$C$82,ProposedLoans!$Z$6:$Z$21,$C90,ProposedLoans!$M$6:$M$21,ProposedLoansWkst!I$2)</f>
        <v>0</v>
      </c>
      <c r="J90" s="834">
        <f>SUMIFS(ProposedLoans!$S$6:$S$21,ProposedLoans!$D$6:$D$21,$C$82,ProposedLoans!$Z$6:$Z$21,"*Aug*",ProposedLoans!$M$6:$M$21,ProposedLoansWkst!J$2)</f>
        <v>0</v>
      </c>
      <c r="K90" s="834">
        <f>SUMIFS(ProposedLoans!$S$6:$S$21,ProposedLoans!$D$6:$D$21,$C$82,ProposedLoans!$Z$6:$Z$21,"*Aug*",ProposedLoans!$M$6:$M$21,ProposedLoansWkst!K$2)</f>
        <v>0</v>
      </c>
      <c r="L90" s="834">
        <f>SUMIFS(ProposedLoans!$S$6:$S$21,ProposedLoans!$D$6:$D$21,$C$82,ProposedLoans!$Z$6:$Z$21,"*Aug*",ProposedLoans!$M$6:$M$21,ProposedLoansWkst!L$2)</f>
        <v>0</v>
      </c>
      <c r="M90" s="834">
        <f>SUMIFS(ProposedLoans!$F$6:$F$21,ProposedLoans!$D$6:$D$21,$C$82,ProposedLoans!$G$6:$G$21,"*Aug*")</f>
        <v>0</v>
      </c>
      <c r="O90" s="831" t="s">
        <v>11</v>
      </c>
      <c r="P90" s="834">
        <f>SUMIFS(ProposedLoans!$T$6:$T$21,ProposedLoans!$D$6:$D$21,$C$82,ProposedLoans!$Z$6:$Z$21,$C90,ProposedLoans!$M$6:$M$21,ProposedLoansWkst!I$2)</f>
        <v>0</v>
      </c>
      <c r="Q90" s="834">
        <f>SUMIFS(ProposedLoans!$T$6:$T$21,ProposedLoans!$D$6:$D$21,$C$82,ProposedLoans!$Z$6:$Z$21,"*Aug*",ProposedLoans!$M$6:$M$21,ProposedLoansWkst!Q$2)</f>
        <v>0</v>
      </c>
      <c r="R90" s="834">
        <f>SUMIFS(ProposedLoans!$T$6:$T$21,ProposedLoans!$D$6:$D$21,$C$82,ProposedLoans!$Z$6:$Z$21,"*Aug*",ProposedLoans!$M$6:$M$21,ProposedLoansWkst!R$2)</f>
        <v>0</v>
      </c>
      <c r="S90" s="834">
        <f>SUMIFS(ProposedLoans!$T$6:$T$21,ProposedLoans!$D$6:$D$21,$C$82,ProposedLoans!$Z$6:$Z$21,"*Aug*",ProposedLoans!$M$6:$M$21,ProposedLoansWkst!S$2)</f>
        <v>0</v>
      </c>
    </row>
    <row r="91" spans="2:19" x14ac:dyDescent="0.2">
      <c r="B91" s="835" t="s">
        <v>193</v>
      </c>
      <c r="C91" s="836" t="s">
        <v>12</v>
      </c>
      <c r="D91" s="837">
        <f>SUM(ProposedLoansWkst!$I91:$L91)</f>
        <v>0</v>
      </c>
      <c r="E91" s="838">
        <f>SUM(ProposedLoansWkst!$P91:$S91)</f>
        <v>0</v>
      </c>
      <c r="F91" s="838">
        <f>SUM(ProposedLoansWkst!$M91)</f>
        <v>0</v>
      </c>
      <c r="H91" s="835" t="s">
        <v>12</v>
      </c>
      <c r="I91" s="837">
        <f>SUMIFS(ProposedLoans!$S$6:$S$21,ProposedLoans!$D$6:$D$21,$C$82,ProposedLoans!$Z$6:$Z$21,$C91,ProposedLoans!$M$6:$M$21,ProposedLoansWkst!I$2)</f>
        <v>0</v>
      </c>
      <c r="J91" s="838">
        <f>SUMIFS(ProposedLoans!$S$6:$S$21,ProposedLoans!$D$6:$D$21,$C$82,ProposedLoans!$Z$6:$Z$21,"*Sep*",ProposedLoans!$M$6:$M$21,ProposedLoansWkst!J$2)</f>
        <v>0</v>
      </c>
      <c r="K91" s="838">
        <f>SUMIFS(ProposedLoans!$S$6:$S$21,ProposedLoans!$D$6:$D$21,$C$82,ProposedLoans!$Z$6:$Z$21,"*Sep*",ProposedLoans!$M$6:$M$21,ProposedLoansWkst!K$2)</f>
        <v>0</v>
      </c>
      <c r="L91" s="838">
        <f>SUMIFS(ProposedLoans!$S$6:$S$21,ProposedLoans!$D$6:$D$21,$C$82,ProposedLoans!$Z$6:$Z$21,"*Sep*",ProposedLoans!$M$6:$M$21,ProposedLoansWkst!L$2)</f>
        <v>0</v>
      </c>
      <c r="M91" s="838">
        <f>SUMIFS(ProposedLoans!$F$6:$F$21,ProposedLoans!$D$6:$D$21,$C$82,ProposedLoans!$G$6:$G$21,"*Sep*")</f>
        <v>0</v>
      </c>
      <c r="O91" s="835" t="s">
        <v>12</v>
      </c>
      <c r="P91" s="838">
        <f>SUMIFS(ProposedLoans!$T$6:$T$21,ProposedLoans!$D$6:$D$21,$C$82,ProposedLoans!$Z$6:$Z$21,$C91,ProposedLoans!$M$6:$M$21,ProposedLoansWkst!I$2)</f>
        <v>0</v>
      </c>
      <c r="Q91" s="838">
        <f>SUMIFS(ProposedLoans!$T$6:$T$21,ProposedLoans!$D$6:$D$21,$C$82,ProposedLoans!$Z$6:$Z$21,"*Sep*",ProposedLoans!$M$6:$M$21,ProposedLoansWkst!Q$2)</f>
        <v>0</v>
      </c>
      <c r="R91" s="838">
        <f>SUMIFS(ProposedLoans!$T$6:$T$21,ProposedLoans!$D$6:$D$21,$C$82,ProposedLoans!$Z$6:$Z$21,"*Sep*",ProposedLoans!$M$6:$M$21,ProposedLoansWkst!R$2)</f>
        <v>0</v>
      </c>
      <c r="S91" s="838">
        <f>SUMIFS(ProposedLoans!$T$6:$T$21,ProposedLoans!$D$6:$D$21,$C$82,ProposedLoans!$Z$6:$Z$21,"*Sep*",ProposedLoans!$M$6:$M$21,ProposedLoansWkst!S$2)</f>
        <v>0</v>
      </c>
    </row>
    <row r="92" spans="2:19" x14ac:dyDescent="0.2">
      <c r="B92" s="831" t="s">
        <v>194</v>
      </c>
      <c r="C92" s="839" t="s">
        <v>13</v>
      </c>
      <c r="D92" s="833">
        <f>SUM(ProposedLoansWkst!$I92:$L92)</f>
        <v>0</v>
      </c>
      <c r="E92" s="834">
        <f>SUM(ProposedLoansWkst!$P92:$S92)</f>
        <v>0</v>
      </c>
      <c r="F92" s="834">
        <f>SUM(ProposedLoansWkst!$M92)</f>
        <v>0</v>
      </c>
      <c r="H92" s="831" t="s">
        <v>13</v>
      </c>
      <c r="I92" s="833">
        <f>SUMIFS(ProposedLoans!$S$6:$S$21,ProposedLoans!$D$6:$D$21,$C$82,ProposedLoans!$Z$6:$Z$21,$C92,ProposedLoans!$M$6:$M$21,ProposedLoansWkst!I$2)</f>
        <v>0</v>
      </c>
      <c r="J92" s="834">
        <f>SUMIFS(ProposedLoans!$S$6:$S$21,ProposedLoans!$D$6:$D$21,$C$82,ProposedLoans!$Z$6:$Z$21,"*Oct*",ProposedLoans!$M$6:$M$21,ProposedLoansWkst!J$2)</f>
        <v>0</v>
      </c>
      <c r="K92" s="834">
        <f>SUMIFS(ProposedLoans!$S$6:$S$21,ProposedLoans!$D$6:$D$21,$C$82,ProposedLoans!$Z$6:$Z$21,"*Oct*",ProposedLoans!$M$6:$M$21,ProposedLoansWkst!K$2)</f>
        <v>0</v>
      </c>
      <c r="L92" s="834">
        <f>SUMIFS(ProposedLoans!$S$6:$S$21,ProposedLoans!$D$6:$D$21,$C$82,ProposedLoans!$Z$6:$Z$21,"*Oct*",ProposedLoans!$M$6:$M$21,ProposedLoansWkst!L$2)</f>
        <v>0</v>
      </c>
      <c r="M92" s="834">
        <f>SUMIFS(ProposedLoans!$F$6:$F$21,ProposedLoans!$D$6:$D$21,$C$82,ProposedLoans!$G$6:$G$21,"*Oct*")</f>
        <v>0</v>
      </c>
      <c r="O92" s="831" t="s">
        <v>13</v>
      </c>
      <c r="P92" s="834">
        <f>SUMIFS(ProposedLoans!$T$6:$T$21,ProposedLoans!$D$6:$D$21,$C$82,ProposedLoans!$Z$6:$Z$21,$C92,ProposedLoans!$M$6:$M$21,ProposedLoansWkst!I$2)</f>
        <v>0</v>
      </c>
      <c r="Q92" s="834">
        <f>SUMIFS(ProposedLoans!$T$6:$T$21,ProposedLoans!$D$6:$D$21,$C$82,ProposedLoans!$Z$6:$Z$21,"*Oct*",ProposedLoans!$M$6:$M$21,ProposedLoansWkst!Q$2)</f>
        <v>0</v>
      </c>
      <c r="R92" s="834">
        <f>SUMIFS(ProposedLoans!$T$6:$T$21,ProposedLoans!$D$6:$D$21,$C$82,ProposedLoans!$Z$6:$Z$21,"*Oct*",ProposedLoans!$M$6:$M$21,ProposedLoansWkst!R$2)</f>
        <v>0</v>
      </c>
      <c r="S92" s="834">
        <f>SUMIFS(ProposedLoans!$T$6:$T$21,ProposedLoans!$D$6:$D$21,$C$82,ProposedLoans!$Z$6:$Z$21,"*Oct*",ProposedLoans!$M$6:$M$21,ProposedLoansWkst!S$2)</f>
        <v>0</v>
      </c>
    </row>
    <row r="93" spans="2:19" x14ac:dyDescent="0.2">
      <c r="B93" s="835" t="s">
        <v>195</v>
      </c>
      <c r="C93" s="836" t="s">
        <v>14</v>
      </c>
      <c r="D93" s="837">
        <f>SUM(ProposedLoansWkst!$I93:$L93)</f>
        <v>0</v>
      </c>
      <c r="E93" s="838">
        <f>SUM(ProposedLoansWkst!$P93:$S93)</f>
        <v>0</v>
      </c>
      <c r="F93" s="838">
        <f>SUM(ProposedLoansWkst!$M93)</f>
        <v>0</v>
      </c>
      <c r="H93" s="835" t="s">
        <v>14</v>
      </c>
      <c r="I93" s="837">
        <f>SUMIFS(ProposedLoans!$S$6:$S$21,ProposedLoans!$D$6:$D$21,$C$82,ProposedLoans!$Z$6:$Z$21,$C93,ProposedLoans!$M$6:$M$21,ProposedLoansWkst!I$2)</f>
        <v>0</v>
      </c>
      <c r="J93" s="838">
        <f>SUMIFS(ProposedLoans!$S$6:$S$21,ProposedLoans!$D$6:$D$21,$C$82,ProposedLoans!$Z$6:$Z$21,"*Nov*",ProposedLoans!$M$6:$M$21,ProposedLoansWkst!J$2)</f>
        <v>0</v>
      </c>
      <c r="K93" s="838">
        <f>SUMIFS(ProposedLoans!$S$6:$S$21,ProposedLoans!$D$6:$D$21,$C$82,ProposedLoans!$Z$6:$Z$21,"*Nov*",ProposedLoans!$M$6:$M$21,ProposedLoansWkst!K$2)</f>
        <v>0</v>
      </c>
      <c r="L93" s="838">
        <f>SUMIFS(ProposedLoans!$S$6:$S$21,ProposedLoans!$D$6:$D$21,$C$82,ProposedLoans!$Z$6:$Z$21,"*Nov*",ProposedLoans!$M$6:$M$21,ProposedLoansWkst!L$2)</f>
        <v>0</v>
      </c>
      <c r="M93" s="838">
        <f>SUMIFS(ProposedLoans!$F$6:$F$21,ProposedLoans!$D$6:$D$21,$C$82,ProposedLoans!$G$6:$G$21,"*Nov*")</f>
        <v>0</v>
      </c>
      <c r="O93" s="835" t="s">
        <v>14</v>
      </c>
      <c r="P93" s="838">
        <f>SUMIFS(ProposedLoans!$T$6:$T$21,ProposedLoans!$D$6:$D$21,$C$82,ProposedLoans!$Z$6:$Z$21,$C93,ProposedLoans!$M$6:$M$21,ProposedLoansWkst!I$2)</f>
        <v>0</v>
      </c>
      <c r="Q93" s="838">
        <f>SUMIFS(ProposedLoans!$T$6:$T$21,ProposedLoans!$D$6:$D$21,$C$82,ProposedLoans!$Z$6:$Z$21,"*Nov*",ProposedLoans!$M$6:$M$21,ProposedLoansWkst!Q$2)</f>
        <v>0</v>
      </c>
      <c r="R93" s="838">
        <f>SUMIFS(ProposedLoans!$T$6:$T$21,ProposedLoans!$D$6:$D$21,$C$82,ProposedLoans!$Z$6:$Z$21,"*Nov*",ProposedLoans!$M$6:$M$21,ProposedLoansWkst!R$2)</f>
        <v>0</v>
      </c>
      <c r="S93" s="838">
        <f>SUMIFS(ProposedLoans!$T$6:$T$21,ProposedLoans!$D$6:$D$21,$C$82,ProposedLoans!$Z$6:$Z$21,"*Nov*",ProposedLoans!$M$6:$M$21,ProposedLoansWkst!S$2)</f>
        <v>0</v>
      </c>
    </row>
    <row r="94" spans="2:19" ht="13.5" thickBot="1" x14ac:dyDescent="0.25">
      <c r="B94" s="831" t="s">
        <v>196</v>
      </c>
      <c r="C94" s="839" t="s">
        <v>15</v>
      </c>
      <c r="D94" s="833">
        <f>SUM(ProposedLoansWkst!$I94:$L94)</f>
        <v>0</v>
      </c>
      <c r="E94" s="834">
        <f>SUM(ProposedLoansWkst!$P94:$S94)</f>
        <v>0</v>
      </c>
      <c r="F94" s="834">
        <f>SUM(ProposedLoansWkst!$M94)</f>
        <v>0</v>
      </c>
      <c r="H94" s="831" t="s">
        <v>15</v>
      </c>
      <c r="I94" s="833">
        <f>SUMIFS(ProposedLoans!$S$6:$S$21,ProposedLoans!$D$6:$D$21,$C$82,ProposedLoans!$Z$6:$Z$21,$C94,ProposedLoans!$M$6:$M$21,ProposedLoansWkst!I$2)</f>
        <v>0</v>
      </c>
      <c r="J94" s="834">
        <f>SUMIFS(ProposedLoans!$S$6:$S$21,ProposedLoans!$D$6:$D$21,$C$82,ProposedLoans!$Z$6:$Z$21,"*Dec*",ProposedLoans!$M$6:$M$21,ProposedLoansWkst!J$2)</f>
        <v>0</v>
      </c>
      <c r="K94" s="834">
        <f>SUMIFS(ProposedLoans!$S$6:$S$21,ProposedLoans!$D$6:$D$21,$C$82,ProposedLoans!$Z$6:$Z$21,"*Dec*",ProposedLoans!$M$6:$M$21,ProposedLoansWkst!K$2)</f>
        <v>0</v>
      </c>
      <c r="L94" s="834">
        <f>SUMIFS(ProposedLoans!$S$6:$S$21,ProposedLoans!$D$6:$D$21,$C$82,ProposedLoans!$Z$6:$Z$21,"*Dec*",ProposedLoans!$M$6:$M$21,ProposedLoansWkst!L$2)</f>
        <v>0</v>
      </c>
      <c r="M94" s="834">
        <f>SUMIFS(ProposedLoans!$F$6:$F$21,ProposedLoans!$D$6:$D$21,$C$82,ProposedLoans!$G$6:$G$21,"*Dec*")</f>
        <v>0</v>
      </c>
      <c r="O94" s="831" t="s">
        <v>15</v>
      </c>
      <c r="P94" s="834">
        <f>SUMIFS(ProposedLoans!$T$6:$T$21,ProposedLoans!$D$6:$D$21,$C$82,ProposedLoans!$Z$6:$Z$21,$C94,ProposedLoans!$M$6:$M$21,ProposedLoansWkst!I$2)</f>
        <v>0</v>
      </c>
      <c r="Q94" s="834">
        <f>SUMIFS(ProposedLoans!$T$6:$T$21,ProposedLoans!$D$6:$D$21,$C$82,ProposedLoans!$Z$6:$Z$21,"*Dec*",ProposedLoans!$M$6:$M$21,ProposedLoansWkst!Q$2)</f>
        <v>0</v>
      </c>
      <c r="R94" s="834">
        <f>SUMIFS(ProposedLoans!$T$6:$T$21,ProposedLoans!$D$6:$D$21,$C$82,ProposedLoans!$Z$6:$Z$21,"*Dec*",ProposedLoans!$M$6:$M$21,ProposedLoansWkst!R$2)</f>
        <v>0</v>
      </c>
      <c r="S94" s="834">
        <f>SUMIFS(ProposedLoans!$T$6:$T$21,ProposedLoans!$D$6:$D$21,$C$82,ProposedLoans!$Z$6:$Z$21,"*Dec*",ProposedLoans!$M$6:$M$21,ProposedLoansWkst!S$2)</f>
        <v>0</v>
      </c>
    </row>
    <row r="95" spans="2:19" ht="13.5" thickTop="1" x14ac:dyDescent="0.2">
      <c r="B95" s="840"/>
      <c r="C95" s="841"/>
      <c r="D95" s="842">
        <f>SUM(ProposedLoansWkst!$D$83:$D$94)</f>
        <v>0</v>
      </c>
      <c r="E95" s="824">
        <f>SUM(ProposedLoansWkst!$E$83:$E$94)</f>
        <v>0</v>
      </c>
      <c r="F95" s="823">
        <f>SUM(ProposedLoansWkst!$F$83:$F$94)</f>
        <v>0</v>
      </c>
      <c r="H95" s="845"/>
      <c r="I95" s="823">
        <f>SUM(ProposedLoansWkst!$I$83:$I$94)</f>
        <v>0</v>
      </c>
      <c r="J95" s="823">
        <f>SUM(ProposedLoansWkst!$J$83:$J$94)</f>
        <v>0</v>
      </c>
      <c r="K95" s="823">
        <f>SUM(ProposedLoansWkst!$K$83:$K$94)</f>
        <v>0</v>
      </c>
      <c r="L95" s="823">
        <f>SUM(ProposedLoansWkst!$L$83:$L$94)</f>
        <v>0</v>
      </c>
      <c r="M95" s="823">
        <f>SUM(ProposedLoansWkst!$M$83:$M$94)</f>
        <v>0</v>
      </c>
      <c r="O95" s="845"/>
      <c r="P95" s="823">
        <f>SUM(ProposedLoansWkst!$P$83:$P$94)</f>
        <v>0</v>
      </c>
      <c r="Q95" s="823">
        <f>SUM(ProposedLoansWkst!$Q$83:$Q$94)</f>
        <v>0</v>
      </c>
      <c r="R95" s="823">
        <f>SUM(ProposedLoansWkst!$R$83:$R$94)</f>
        <v>0</v>
      </c>
      <c r="S95" s="823">
        <f>SUM(ProposedLoansWkst!$S$83:$S$94)</f>
        <v>0</v>
      </c>
    </row>
  </sheetData>
  <sheetProtection algorithmName="SHA-512" hashValue="K2AbM6i47FXuVt3levyOs8PjmmjVYkeeX544SOKALzQrUj7jNMVLx6psMTwhaYWGvl8FCHiwWlJU8CYD8Ch/eQ==" saltValue="q6cykoWaB9AR8/Ixfkrr8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34953"/>
  </sheetPr>
  <dimension ref="A1:H35"/>
  <sheetViews>
    <sheetView showGridLines="0" workbookViewId="0">
      <pane ySplit="4" topLeftCell="A6" activePane="bottomLeft" state="frozen"/>
      <selection pane="bottomLeft" activeCell="C28" sqref="C28"/>
    </sheetView>
  </sheetViews>
  <sheetFormatPr defaultColWidth="10" defaultRowHeight="12.75" x14ac:dyDescent="0.2"/>
  <cols>
    <col min="1" max="1" width="49.7109375" customWidth="1"/>
    <col min="2" max="2" width="8.140625" customWidth="1"/>
    <col min="3" max="3" width="8.7109375" customWidth="1"/>
    <col min="4" max="4" width="16.7109375" bestFit="1" customWidth="1"/>
    <col min="5" max="5" width="11.85546875" bestFit="1" customWidth="1"/>
    <col min="6" max="6" width="49.7109375" customWidth="1"/>
    <col min="7" max="7" width="16.7109375" customWidth="1"/>
    <col min="8" max="8" width="3.7109375" customWidth="1"/>
    <col min="9" max="9" width="49.7109375" customWidth="1"/>
    <col min="10" max="10" width="16.7109375" customWidth="1"/>
    <col min="11" max="11" width="12" customWidth="1"/>
  </cols>
  <sheetData>
    <row r="1" spans="1:8" s="14" customFormat="1" ht="20.25" customHeight="1" x14ac:dyDescent="0.3">
      <c r="A1" s="4" t="s">
        <v>409</v>
      </c>
      <c r="B1" s="4"/>
      <c r="C1" s="4"/>
      <c r="D1" s="22"/>
      <c r="E1" s="15"/>
      <c r="F1" s="15"/>
      <c r="G1" s="15"/>
      <c r="H1" s="15"/>
    </row>
    <row r="2" spans="1:8" s="14" customFormat="1" ht="15" customHeight="1" x14ac:dyDescent="0.2">
      <c r="A2" s="948" t="str">
        <f>IF(Name&gt;"",Name,IF(BusName&gt;"",BusName,""))</f>
        <v/>
      </c>
      <c r="B2" s="948"/>
      <c r="C2" s="948"/>
      <c r="D2" s="948"/>
      <c r="E2" s="15"/>
      <c r="F2" s="15"/>
      <c r="G2" s="15"/>
      <c r="H2" s="15"/>
    </row>
    <row r="3" spans="1:8" s="14" customFormat="1" ht="15" customHeight="1" x14ac:dyDescent="0.2">
      <c r="A3" s="682" t="s">
        <v>87</v>
      </c>
      <c r="B3" s="682"/>
      <c r="C3" s="682"/>
      <c r="D3" s="683" t="str">
        <f>CONCATENATE("Year Ending ",Year2)</f>
        <v>Year Ending 2017 Projected</v>
      </c>
      <c r="E3" s="19"/>
      <c r="F3" s="19"/>
      <c r="G3" s="19"/>
      <c r="H3" s="19"/>
    </row>
    <row r="4" spans="1:8" s="14" customFormat="1" ht="19.5" customHeight="1" x14ac:dyDescent="0.2">
      <c r="A4" s="684"/>
      <c r="B4" s="684"/>
      <c r="C4" s="684"/>
      <c r="D4" s="685"/>
      <c r="E4" s="38"/>
    </row>
    <row r="5" spans="1:8" s="14" customFormat="1" ht="15" customHeight="1" x14ac:dyDescent="0.2">
      <c r="A5" s="623" t="s">
        <v>267</v>
      </c>
      <c r="B5" s="624" t="s">
        <v>268</v>
      </c>
      <c r="C5" s="624" t="s">
        <v>550</v>
      </c>
      <c r="D5" s="624" t="s">
        <v>476</v>
      </c>
      <c r="E5" s="38"/>
      <c r="F5" s="39"/>
    </row>
    <row r="6" spans="1:8" s="17" customFormat="1" ht="15" customHeight="1" x14ac:dyDescent="0.2">
      <c r="A6" s="726"/>
      <c r="B6" s="728"/>
      <c r="C6" s="301"/>
      <c r="D6" s="595">
        <f t="shared" ref="D6:D12" si="0">B6*C6</f>
        <v>0</v>
      </c>
      <c r="E6" s="16"/>
      <c r="F6" s="20"/>
    </row>
    <row r="7" spans="1:8" s="17" customFormat="1" ht="15" customHeight="1" x14ac:dyDescent="0.2">
      <c r="A7" s="726"/>
      <c r="B7" s="728"/>
      <c r="C7" s="301"/>
      <c r="D7" s="595">
        <f t="shared" si="0"/>
        <v>0</v>
      </c>
      <c r="E7" s="16"/>
      <c r="F7" s="20"/>
    </row>
    <row r="8" spans="1:8" s="17" customFormat="1" ht="15" customHeight="1" x14ac:dyDescent="0.2">
      <c r="A8" s="726"/>
      <c r="B8" s="728"/>
      <c r="C8" s="301"/>
      <c r="D8" s="595">
        <f t="shared" si="0"/>
        <v>0</v>
      </c>
      <c r="E8" s="16"/>
      <c r="F8" s="20"/>
    </row>
    <row r="9" spans="1:8" s="17" customFormat="1" ht="15" customHeight="1" x14ac:dyDescent="0.2">
      <c r="A9" s="726"/>
      <c r="B9" s="728"/>
      <c r="C9" s="301"/>
      <c r="D9" s="595">
        <f t="shared" si="0"/>
        <v>0</v>
      </c>
      <c r="E9" s="16"/>
      <c r="F9" s="20"/>
    </row>
    <row r="10" spans="1:8" s="17" customFormat="1" ht="15" customHeight="1" x14ac:dyDescent="0.2">
      <c r="A10" s="726"/>
      <c r="B10" s="728"/>
      <c r="C10" s="301"/>
      <c r="D10" s="595">
        <f t="shared" si="0"/>
        <v>0</v>
      </c>
      <c r="E10" s="16"/>
      <c r="F10" s="20"/>
    </row>
    <row r="11" spans="1:8" s="17" customFormat="1" ht="15" customHeight="1" x14ac:dyDescent="0.2">
      <c r="A11" s="727"/>
      <c r="B11" s="729"/>
      <c r="C11" s="303"/>
      <c r="D11" s="596">
        <f t="shared" si="0"/>
        <v>0</v>
      </c>
      <c r="E11" s="16"/>
      <c r="F11" s="20"/>
    </row>
    <row r="12" spans="1:8" s="17" customFormat="1" ht="15" customHeight="1" x14ac:dyDescent="0.2">
      <c r="A12" s="726"/>
      <c r="B12" s="728"/>
      <c r="C12" s="301"/>
      <c r="D12" s="595">
        <f t="shared" si="0"/>
        <v>0</v>
      </c>
      <c r="E12" s="16"/>
      <c r="F12" s="20"/>
    </row>
    <row r="13" spans="1:8" s="17" customFormat="1" ht="15" customHeight="1" x14ac:dyDescent="0.2">
      <c r="A13" s="230" t="str">
        <f>CONCATENATE("Sub-Total ",A5)</f>
        <v>Sub-Total Crop Inventory</v>
      </c>
      <c r="B13" s="230"/>
      <c r="C13" s="230"/>
      <c r="D13" s="235">
        <f>SUM(D6:D12)</f>
        <v>0</v>
      </c>
      <c r="E13" s="16"/>
      <c r="F13" s="20"/>
    </row>
    <row r="16" spans="1:8" ht="15" customHeight="1" x14ac:dyDescent="0.2">
      <c r="A16" s="623" t="s">
        <v>269</v>
      </c>
      <c r="B16" s="624" t="s">
        <v>268</v>
      </c>
      <c r="C16" s="624" t="s">
        <v>270</v>
      </c>
      <c r="D16" s="624" t="s">
        <v>271</v>
      </c>
      <c r="E16" s="624" t="s">
        <v>476</v>
      </c>
    </row>
    <row r="17" spans="1:5" x14ac:dyDescent="0.2">
      <c r="A17" s="726"/>
      <c r="B17" s="728"/>
      <c r="C17" s="728"/>
      <c r="D17" s="914"/>
      <c r="E17" s="595">
        <f>(B17*C17)*(D17/100)</f>
        <v>0</v>
      </c>
    </row>
    <row r="18" spans="1:5" x14ac:dyDescent="0.2">
      <c r="A18" s="726"/>
      <c r="B18" s="728"/>
      <c r="C18" s="728"/>
      <c r="D18" s="914"/>
      <c r="E18" s="595">
        <f t="shared" ref="E18:E23" si="1">(B18*C18)*(D18/100)</f>
        <v>0</v>
      </c>
    </row>
    <row r="19" spans="1:5" x14ac:dyDescent="0.2">
      <c r="A19" s="726"/>
      <c r="B19" s="728"/>
      <c r="C19" s="728"/>
      <c r="D19" s="914"/>
      <c r="E19" s="595">
        <f t="shared" si="1"/>
        <v>0</v>
      </c>
    </row>
    <row r="20" spans="1:5" x14ac:dyDescent="0.2">
      <c r="A20" s="726"/>
      <c r="B20" s="728"/>
      <c r="C20" s="728"/>
      <c r="D20" s="914"/>
      <c r="E20" s="595">
        <f t="shared" si="1"/>
        <v>0</v>
      </c>
    </row>
    <row r="21" spans="1:5" x14ac:dyDescent="0.2">
      <c r="A21" s="726"/>
      <c r="B21" s="728"/>
      <c r="C21" s="728"/>
      <c r="D21" s="301"/>
      <c r="E21" s="595">
        <f t="shared" si="1"/>
        <v>0</v>
      </c>
    </row>
    <row r="22" spans="1:5" x14ac:dyDescent="0.2">
      <c r="A22" s="727"/>
      <c r="B22" s="729"/>
      <c r="C22" s="729"/>
      <c r="D22" s="303"/>
      <c r="E22" s="596">
        <f t="shared" si="1"/>
        <v>0</v>
      </c>
    </row>
    <row r="23" spans="1:5" x14ac:dyDescent="0.2">
      <c r="A23" s="726"/>
      <c r="B23" s="728"/>
      <c r="C23" s="728"/>
      <c r="D23" s="301"/>
      <c r="E23" s="595">
        <f t="shared" si="1"/>
        <v>0</v>
      </c>
    </row>
    <row r="24" spans="1:5" x14ac:dyDescent="0.2">
      <c r="A24" s="230" t="str">
        <f>CONCATENATE("Sub-Total ",A16)</f>
        <v>Sub-Total Livestock Held for Sale</v>
      </c>
      <c r="B24" s="230"/>
      <c r="C24" s="230"/>
      <c r="D24" s="230"/>
      <c r="E24" s="235">
        <f>SUM(E17:E23)</f>
        <v>0</v>
      </c>
    </row>
    <row r="27" spans="1:5" ht="15" customHeight="1" x14ac:dyDescent="0.2">
      <c r="A27" s="623" t="s">
        <v>522</v>
      </c>
      <c r="B27" s="624" t="s">
        <v>268</v>
      </c>
      <c r="C27" s="624" t="s">
        <v>549</v>
      </c>
      <c r="D27" s="624" t="s">
        <v>476</v>
      </c>
    </row>
    <row r="28" spans="1:5" x14ac:dyDescent="0.2">
      <c r="A28" s="726"/>
      <c r="B28" s="728"/>
      <c r="C28" s="301"/>
      <c r="D28" s="595">
        <f>B28*C28</f>
        <v>0</v>
      </c>
    </row>
    <row r="29" spans="1:5" x14ac:dyDescent="0.2">
      <c r="A29" s="726"/>
      <c r="B29" s="728"/>
      <c r="C29" s="301"/>
      <c r="D29" s="595">
        <f t="shared" ref="D29:D34" si="2">B29*C29</f>
        <v>0</v>
      </c>
    </row>
    <row r="30" spans="1:5" x14ac:dyDescent="0.2">
      <c r="A30" s="726"/>
      <c r="B30" s="728"/>
      <c r="C30" s="301"/>
      <c r="D30" s="595">
        <f t="shared" si="2"/>
        <v>0</v>
      </c>
    </row>
    <row r="31" spans="1:5" x14ac:dyDescent="0.2">
      <c r="A31" s="726"/>
      <c r="B31" s="728"/>
      <c r="C31" s="301"/>
      <c r="D31" s="595">
        <f t="shared" si="2"/>
        <v>0</v>
      </c>
    </row>
    <row r="32" spans="1:5" x14ac:dyDescent="0.2">
      <c r="A32" s="726"/>
      <c r="B32" s="728"/>
      <c r="C32" s="301"/>
      <c r="D32" s="595">
        <f t="shared" si="2"/>
        <v>0</v>
      </c>
    </row>
    <row r="33" spans="1:4" x14ac:dyDescent="0.2">
      <c r="A33" s="727"/>
      <c r="B33" s="729"/>
      <c r="C33" s="303"/>
      <c r="D33" s="596">
        <f t="shared" si="2"/>
        <v>0</v>
      </c>
    </row>
    <row r="34" spans="1:4" x14ac:dyDescent="0.2">
      <c r="A34" s="726"/>
      <c r="B34" s="728"/>
      <c r="C34" s="301"/>
      <c r="D34" s="595">
        <f t="shared" si="2"/>
        <v>0</v>
      </c>
    </row>
    <row r="35" spans="1:4" x14ac:dyDescent="0.2">
      <c r="A35" s="230" t="str">
        <f>CONCATENATE("Sub-Total ",LEFT(A27,15))</f>
        <v>Sub-Total Other Inventory</v>
      </c>
      <c r="B35" s="230"/>
      <c r="C35" s="230"/>
      <c r="D35" s="235">
        <f>SUM(D28:D34)</f>
        <v>0</v>
      </c>
    </row>
  </sheetData>
  <sheetProtection algorithmName="SHA-512" hashValue="03leaZgc16a05CRMheziMNi3zVb5FCAdPb01SKa+3sTh7jNY6atoWOEhNfQpeIUWnmeVZnNGVfFp/996nqJVDg==" saltValue="CelfyMFRipMWsLiZb9SzIg==" spinCount="100000" sheet="1" objects="1" scenarios="1"/>
  <mergeCells count="1">
    <mergeCell ref="A2:D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4A89DC"/>
  </sheetPr>
  <dimension ref="A1:T212"/>
  <sheetViews>
    <sheetView showGridLines="0" topLeftCell="B1" workbookViewId="0">
      <pane ySplit="9" topLeftCell="A10" activePane="bottomLeft" state="frozen"/>
      <selection activeCell="B1" sqref="B1"/>
      <selection pane="bottomLeft"/>
    </sheetView>
  </sheetViews>
  <sheetFormatPr defaultColWidth="10" defaultRowHeight="12.75" x14ac:dyDescent="0.2"/>
  <cols>
    <col min="1" max="1" width="36" style="3" hidden="1" customWidth="1"/>
    <col min="2" max="2" width="57.7109375" style="3" customWidth="1"/>
    <col min="3" max="4" width="15.7109375" style="2" customWidth="1"/>
    <col min="5" max="5" width="10.85546875" style="3" customWidth="1"/>
    <col min="6" max="6" width="12" style="3" customWidth="1"/>
    <col min="7" max="16384" width="10" style="3"/>
  </cols>
  <sheetData>
    <row r="1" spans="2:20" ht="3" customHeight="1" x14ac:dyDescent="0.2">
      <c r="B1" s="1067" t="str">
        <f>B208</f>
        <v>NET CASH FLOWS (all sources)</v>
      </c>
      <c r="C1" s="1065">
        <f>C208</f>
        <v>0</v>
      </c>
      <c r="D1" s="1065">
        <f>D208</f>
        <v>0</v>
      </c>
      <c r="Q1" s="179">
        <f>Year1</f>
        <v>2016</v>
      </c>
      <c r="R1" s="179" t="str">
        <f>CONCATENATE(Year+1," Proj.")</f>
        <v>2017 Proj.</v>
      </c>
      <c r="S1" s="179"/>
      <c r="T1" s="179"/>
    </row>
    <row r="2" spans="2:20" ht="3" customHeight="1" x14ac:dyDescent="0.2">
      <c r="B2" s="1068"/>
      <c r="C2" s="1065"/>
      <c r="D2" s="1065"/>
      <c r="P2" s="3" t="str">
        <f ca="1">OFFSET(Q2,0,0,1,1)</f>
        <v>Ag Net Income</v>
      </c>
      <c r="Q2" s="179" t="s">
        <v>335</v>
      </c>
      <c r="R2" s="179" t="s">
        <v>172</v>
      </c>
      <c r="S2" s="179" t="str">
        <f ca="1">IF(HowSell="Direct to Processor","",OFFSET(R2,0,0,1,1))</f>
        <v>Direct Marketing Net Income</v>
      </c>
      <c r="T2" s="179"/>
    </row>
    <row r="3" spans="2:20" ht="3" customHeight="1" x14ac:dyDescent="0.2">
      <c r="B3" s="1068"/>
      <c r="C3" s="1065"/>
      <c r="D3" s="1065"/>
      <c r="Q3" s="179" t="s">
        <v>333</v>
      </c>
      <c r="R3" s="179" t="s">
        <v>457</v>
      </c>
      <c r="S3" s="179" t="s">
        <v>458</v>
      </c>
      <c r="T3" s="179"/>
    </row>
    <row r="4" spans="2:20" ht="3" customHeight="1" x14ac:dyDescent="0.2">
      <c r="B4" s="1068"/>
      <c r="C4" s="1065"/>
      <c r="D4" s="1065"/>
      <c r="Q4" s="179" t="s">
        <v>173</v>
      </c>
      <c r="R4" s="179" t="s">
        <v>459</v>
      </c>
      <c r="S4" s="179" t="s">
        <v>460</v>
      </c>
      <c r="T4" s="179"/>
    </row>
    <row r="5" spans="2:20" ht="3" customHeight="1" x14ac:dyDescent="0.2">
      <c r="B5" s="1068"/>
      <c r="C5" s="1065"/>
      <c r="D5" s="1065"/>
      <c r="Q5" s="179" t="str">
        <f ca="1">IF(HowSell="Direct to Processor","",OFFSET(Q4,0,0,1,1))</f>
        <v>Direct Mkt Income</v>
      </c>
      <c r="R5" s="179" t="str">
        <f ca="1">IF(HowSell="Direct to Processor","",OFFSET(R4,0,0,1,1))</f>
        <v>Variable Direct Mkt Expenses</v>
      </c>
      <c r="S5" s="179" t="str">
        <f ca="1">IF(HowSell="Direct to Processor","",OFFSET(S4,0,0,1,1))</f>
        <v>Fixed Direct Mkt Expenses</v>
      </c>
      <c r="T5" s="179"/>
    </row>
    <row r="6" spans="2:20" ht="3" customHeight="1" thickBot="1" x14ac:dyDescent="0.25">
      <c r="B6" s="1069"/>
      <c r="C6" s="1066"/>
      <c r="D6" s="1066"/>
      <c r="Q6" s="179"/>
      <c r="R6" s="179"/>
      <c r="S6" s="179"/>
      <c r="T6" s="179"/>
    </row>
    <row r="7" spans="2:20" ht="3" customHeight="1" thickTop="1" x14ac:dyDescent="0.25">
      <c r="B7" s="240"/>
      <c r="C7" s="239"/>
      <c r="D7" s="239"/>
      <c r="Q7" s="179"/>
      <c r="R7" s="179"/>
      <c r="S7" s="179"/>
      <c r="T7" s="179"/>
    </row>
    <row r="8" spans="2:20" ht="3" customHeight="1" x14ac:dyDescent="0.25">
      <c r="B8" s="240"/>
      <c r="C8" s="239"/>
      <c r="D8" s="239"/>
      <c r="Q8" s="179"/>
      <c r="R8" s="179"/>
      <c r="S8" s="179"/>
      <c r="T8" s="179"/>
    </row>
    <row r="9" spans="2:20" x14ac:dyDescent="0.2">
      <c r="B9" t="s">
        <v>546</v>
      </c>
      <c r="C9" s="57" t="s">
        <v>552</v>
      </c>
      <c r="D9"/>
      <c r="F9" s="56"/>
      <c r="Q9" s="179"/>
      <c r="R9" s="179"/>
      <c r="S9" s="179"/>
      <c r="T9" s="179"/>
    </row>
    <row r="10" spans="2:20" ht="3.6" customHeight="1" x14ac:dyDescent="0.2">
      <c r="B10" s="1070" t="s">
        <v>169</v>
      </c>
      <c r="C10" s="1071"/>
      <c r="D10" s="1072"/>
    </row>
    <row r="11" spans="2:20" ht="9.9499999999999993" customHeight="1" x14ac:dyDescent="0.2">
      <c r="B11" s="1073"/>
      <c r="C11" s="1074"/>
      <c r="D11" s="1075"/>
    </row>
    <row r="12" spans="2:20" ht="12" customHeight="1" x14ac:dyDescent="0.2">
      <c r="B12" s="1073"/>
      <c r="C12" s="1074"/>
      <c r="D12" s="1075"/>
    </row>
    <row r="13" spans="2:20" ht="18.75" hidden="1" x14ac:dyDescent="0.3">
      <c r="B13" s="196"/>
      <c r="C13" s="197" t="s">
        <v>53</v>
      </c>
      <c r="D13" s="198" t="s">
        <v>54</v>
      </c>
    </row>
    <row r="14" spans="2:20" ht="13.7" hidden="1" customHeight="1" thickBot="1" x14ac:dyDescent="0.25">
      <c r="B14" s="199" t="s">
        <v>52</v>
      </c>
      <c r="C14" s="53">
        <v>2014</v>
      </c>
      <c r="D14" s="200">
        <v>2015</v>
      </c>
      <c r="G14" s="30"/>
    </row>
    <row r="15" spans="2:20" ht="2.1" customHeight="1" x14ac:dyDescent="0.2">
      <c r="B15" s="201"/>
      <c r="C15" s="160"/>
      <c r="D15" s="66"/>
    </row>
    <row r="16" spans="2:20" ht="15" x14ac:dyDescent="0.2">
      <c r="B16" s="715" t="s">
        <v>464</v>
      </c>
      <c r="C16" s="1097" t="str">
        <f>IF(Name&gt;"",Name,IF(BusName&gt;"",BusName,""))</f>
        <v/>
      </c>
      <c r="D16" s="1098"/>
    </row>
    <row r="17" spans="2:12" x14ac:dyDescent="0.2">
      <c r="B17" s="72" t="s">
        <v>333</v>
      </c>
      <c r="C17" s="292">
        <f>Year</f>
        <v>2016</v>
      </c>
      <c r="D17" s="293" t="str">
        <f>CONCATENATE(Year+1," Projected")</f>
        <v>2017 Projected</v>
      </c>
      <c r="E17" s="6"/>
      <c r="F17" s="9"/>
      <c r="G17" s="7"/>
      <c r="H17" s="7"/>
      <c r="I17" s="7"/>
      <c r="J17" s="7"/>
      <c r="K17" s="7"/>
      <c r="L17" s="7"/>
    </row>
    <row r="18" spans="2:12" ht="12" customHeight="1" x14ac:dyDescent="0.2">
      <c r="B18" s="184" t="s">
        <v>294</v>
      </c>
      <c r="C18" s="294">
        <f>ACFSalesCropTot</f>
        <v>0</v>
      </c>
      <c r="D18" s="294">
        <f>(MCFSalesCropTot)</f>
        <v>0</v>
      </c>
      <c r="E18" s="180"/>
      <c r="F18" s="180"/>
      <c r="G18" s="7"/>
      <c r="H18" s="7"/>
      <c r="I18" s="7"/>
      <c r="J18" s="7"/>
      <c r="K18" s="7"/>
      <c r="L18" s="7"/>
    </row>
    <row r="19" spans="2:12" ht="12" customHeight="1" x14ac:dyDescent="0.2">
      <c r="B19" s="184" t="s">
        <v>295</v>
      </c>
      <c r="C19" s="295">
        <f>ACFSalesVegFruitTot</f>
        <v>0</v>
      </c>
      <c r="D19" s="295">
        <f>(MCFSalesVegFruitTot)</f>
        <v>0</v>
      </c>
      <c r="E19" s="180"/>
      <c r="F19" s="628"/>
      <c r="G19" s="54"/>
      <c r="H19" s="7"/>
      <c r="I19" s="7"/>
      <c r="J19" s="7"/>
      <c r="K19" s="7"/>
      <c r="L19" s="7"/>
    </row>
    <row r="20" spans="2:12" ht="12" customHeight="1" x14ac:dyDescent="0.2">
      <c r="B20" s="203" t="s">
        <v>339</v>
      </c>
      <c r="C20" s="295">
        <f>ACFSalesLivestockTot</f>
        <v>0</v>
      </c>
      <c r="D20" s="295">
        <f>(MCFSalesLivestockTot)</f>
        <v>0</v>
      </c>
      <c r="E20" s="180"/>
      <c r="F20" s="180"/>
      <c r="G20" s="7"/>
      <c r="H20" s="7"/>
      <c r="I20" s="7"/>
      <c r="J20" s="7"/>
      <c r="K20" s="7"/>
      <c r="L20" s="7"/>
    </row>
    <row r="21" spans="2:12" ht="12" customHeight="1" x14ac:dyDescent="0.2">
      <c r="B21" s="184" t="s">
        <v>296</v>
      </c>
      <c r="C21" s="295">
        <f>ACFSalesLivestockProdTot</f>
        <v>0</v>
      </c>
      <c r="D21" s="295">
        <f>(MCFSalesLivestockProdTot)</f>
        <v>0</v>
      </c>
      <c r="E21" s="180"/>
      <c r="F21" s="628"/>
      <c r="G21" s="54"/>
      <c r="H21" s="7"/>
      <c r="I21" s="7"/>
      <c r="J21" s="7"/>
      <c r="K21" s="7"/>
      <c r="L21" s="7"/>
    </row>
    <row r="22" spans="2:12" ht="12" customHeight="1" x14ac:dyDescent="0.2">
      <c r="B22" s="184" t="s">
        <v>468</v>
      </c>
      <c r="C22" s="295">
        <f>ACFCullIncomeTot-ACFLivestockBSValTot</f>
        <v>0</v>
      </c>
      <c r="D22" s="295">
        <f>(MCFCullIncomeTot-MCFLivestockBSValTot)</f>
        <v>0</v>
      </c>
      <c r="E22" s="180"/>
      <c r="F22" s="628"/>
      <c r="G22" s="54"/>
      <c r="H22" s="7"/>
      <c r="I22" s="7"/>
      <c r="J22" s="7"/>
      <c r="K22" s="7"/>
      <c r="L22" s="7"/>
    </row>
    <row r="23" spans="2:12" ht="12" customHeight="1" x14ac:dyDescent="0.2">
      <c r="B23" s="191" t="s">
        <v>406</v>
      </c>
      <c r="C23" s="610">
        <f>ACFINVChangeTot</f>
        <v>0</v>
      </c>
      <c r="D23" s="295">
        <f>(MCFINVChangeTot)</f>
        <v>0</v>
      </c>
      <c r="E23" s="180"/>
      <c r="F23" s="628"/>
      <c r="G23" s="54"/>
      <c r="H23" s="7"/>
      <c r="I23" s="7"/>
      <c r="J23" s="7"/>
      <c r="K23" s="7"/>
      <c r="L23" s="7"/>
    </row>
    <row r="24" spans="2:12" ht="12" customHeight="1" x14ac:dyDescent="0.2">
      <c r="B24" s="184" t="s">
        <v>297</v>
      </c>
      <c r="C24" s="295">
        <f>(ACFGovPayTot)</f>
        <v>0</v>
      </c>
      <c r="D24" s="295">
        <f>(MCFGovPayTot)</f>
        <v>0</v>
      </c>
      <c r="E24" s="180"/>
      <c r="F24" s="628"/>
      <c r="G24" s="54"/>
      <c r="H24" s="7"/>
      <c r="I24" s="7"/>
      <c r="J24" s="7"/>
      <c r="K24" s="7"/>
      <c r="L24" s="7"/>
    </row>
    <row r="25" spans="2:12" ht="12" customHeight="1" x14ac:dyDescent="0.2">
      <c r="B25" s="184" t="s">
        <v>514</v>
      </c>
      <c r="C25" s="295">
        <f>(ACFCropInsIncTot)</f>
        <v>0</v>
      </c>
      <c r="D25" s="295">
        <f>(MCFCropInsIncTot)</f>
        <v>0</v>
      </c>
      <c r="E25" s="180"/>
      <c r="F25" s="628"/>
      <c r="G25" s="54"/>
      <c r="H25" s="7"/>
      <c r="I25" s="7"/>
      <c r="J25" s="7"/>
      <c r="K25" s="7"/>
      <c r="L25" s="7"/>
    </row>
    <row r="26" spans="2:12" ht="12" customHeight="1" x14ac:dyDescent="0.2">
      <c r="B26" s="184" t="s">
        <v>299</v>
      </c>
      <c r="C26" s="295">
        <f>(ACFPatronageTot)</f>
        <v>0</v>
      </c>
      <c r="D26" s="295">
        <f>(MCFPatronageTot)</f>
        <v>0</v>
      </c>
      <c r="E26" s="180"/>
      <c r="F26" s="628"/>
      <c r="G26" s="54"/>
      <c r="H26" s="7"/>
      <c r="I26" s="7"/>
      <c r="J26" s="7"/>
      <c r="K26" s="7"/>
      <c r="L26" s="7"/>
    </row>
    <row r="27" spans="2:12" ht="12" customHeight="1" x14ac:dyDescent="0.2">
      <c r="B27" s="184" t="s">
        <v>384</v>
      </c>
      <c r="C27" s="625">
        <f>(ACFSalesEquipTot-ACFEquipBSValTot+ACFSalesBuildTot-ACFBuildBSValTot)</f>
        <v>0</v>
      </c>
      <c r="D27" s="625">
        <f>(MCFSalesEquipTot-MCFEquipBSValTot+MCFSalesBuildTot-MCFBuildBSValTot)</f>
        <v>0</v>
      </c>
      <c r="E27" s="180"/>
      <c r="F27" s="629"/>
      <c r="G27" s="68"/>
      <c r="I27" s="7"/>
      <c r="J27" s="7"/>
      <c r="K27" s="7"/>
      <c r="L27" s="7"/>
    </row>
    <row r="28" spans="2:12" ht="12" customHeight="1" x14ac:dyDescent="0.2">
      <c r="B28" s="202" t="s">
        <v>292</v>
      </c>
      <c r="C28" s="295">
        <f>(ACFIncCustomWorkTot)</f>
        <v>0</v>
      </c>
      <c r="D28" s="295">
        <f>(MCFIncCustomWorkTot)</f>
        <v>0</v>
      </c>
      <c r="E28" s="180"/>
      <c r="F28" s="180"/>
      <c r="G28" s="7"/>
      <c r="H28" s="7"/>
      <c r="I28" s="7"/>
      <c r="J28" s="7"/>
      <c r="K28" s="7"/>
      <c r="L28" s="7"/>
    </row>
    <row r="29" spans="2:12" ht="12" customHeight="1" x14ac:dyDescent="0.2">
      <c r="B29" s="185" t="s">
        <v>0</v>
      </c>
      <c r="C29" s="295">
        <f>(ACFOthTot)</f>
        <v>0</v>
      </c>
      <c r="D29" s="295">
        <f>(MCFOthTot)</f>
        <v>0</v>
      </c>
      <c r="E29" s="180"/>
      <c r="F29" s="180"/>
      <c r="G29" s="7"/>
      <c r="H29" s="7"/>
      <c r="I29" s="7"/>
      <c r="J29" s="7"/>
      <c r="K29" s="7"/>
      <c r="L29" s="7"/>
    </row>
    <row r="30" spans="2:12" x14ac:dyDescent="0.2">
      <c r="B30" s="186" t="s">
        <v>334</v>
      </c>
      <c r="C30" s="291">
        <f>SUM(C18:C29)</f>
        <v>0</v>
      </c>
      <c r="D30" s="291">
        <f>SUM(D18:D29)</f>
        <v>0</v>
      </c>
      <c r="E30" s="180">
        <f ca="1">OFFSET(C30,0,0,1,1)</f>
        <v>0</v>
      </c>
      <c r="F30" s="180">
        <f ca="1">OFFSET(D30,0,0,1,1)</f>
        <v>0</v>
      </c>
      <c r="G30" s="7"/>
      <c r="H30" s="7"/>
      <c r="I30" s="7"/>
      <c r="J30" s="7"/>
      <c r="K30" s="7"/>
      <c r="L30" s="7"/>
    </row>
    <row r="31" spans="2:12" ht="1.5" customHeight="1" x14ac:dyDescent="0.2">
      <c r="B31" s="204"/>
      <c r="C31" s="62"/>
      <c r="D31" s="66"/>
      <c r="E31" s="180"/>
      <c r="F31" s="180"/>
      <c r="G31" s="7"/>
      <c r="H31" s="7"/>
      <c r="I31" s="7"/>
      <c r="J31" s="7"/>
      <c r="K31" s="7"/>
      <c r="L31" s="7"/>
    </row>
    <row r="32" spans="2:12" ht="12" customHeight="1" x14ac:dyDescent="0.2">
      <c r="B32" s="72" t="s">
        <v>457</v>
      </c>
      <c r="C32" s="62"/>
      <c r="D32" s="66"/>
      <c r="E32" s="180"/>
      <c r="F32" s="180"/>
      <c r="G32" s="9"/>
      <c r="H32" s="7"/>
      <c r="I32" s="7"/>
      <c r="J32" s="7"/>
      <c r="K32" s="7"/>
      <c r="L32" s="7"/>
    </row>
    <row r="33" spans="2:16" ht="12" customHeight="1" x14ac:dyDescent="0.2">
      <c r="B33" s="209" t="s">
        <v>305</v>
      </c>
      <c r="C33" s="295">
        <f>(ACFVCSeedTot)</f>
        <v>0</v>
      </c>
      <c r="D33" s="295">
        <f>(MCFVCSeedTot)</f>
        <v>0</v>
      </c>
      <c r="E33" s="630">
        <f ca="1">OFFSET(C33,0,0,1,1)</f>
        <v>0</v>
      </c>
      <c r="F33" s="180">
        <f ca="1">OFFSET(D33,0,0,1,1)</f>
        <v>0</v>
      </c>
      <c r="G33" s="7"/>
      <c r="H33" s="7"/>
      <c r="I33" s="7"/>
      <c r="J33" s="7"/>
      <c r="K33" s="7"/>
      <c r="L33" s="179" t="e">
        <f t="shared" ref="L33:L59" ca="1" si="0">IF(ScorecardGraphNumber=1,IF(C33&lt;&gt;0,OFFSET(C33,0,0,1,1),NA()),IF(D33&lt;&gt;0,OFFSET(D33,0,0,1,1),NA()))</f>
        <v>#N/A</v>
      </c>
      <c r="M33" s="179" t="e">
        <f t="shared" ref="M33:M59" si="1">IF(ScorecardGraphNumber=1,IF(C33&lt;&gt;0,B33,NA()),IF(D33&lt;&gt;0,B33,NA()))</f>
        <v>#N/A</v>
      </c>
    </row>
    <row r="34" spans="2:16" ht="12" customHeight="1" x14ac:dyDescent="0.2">
      <c r="B34" s="209" t="s">
        <v>317</v>
      </c>
      <c r="C34" s="295">
        <f>(ACFVCFertilizerTot)</f>
        <v>0</v>
      </c>
      <c r="D34" s="295">
        <f>(MCFVCFertilizerTot)</f>
        <v>0</v>
      </c>
      <c r="E34" s="179">
        <f ca="1">OFFSET(C34,0,0,1,1)</f>
        <v>0</v>
      </c>
      <c r="F34" s="180">
        <f t="shared" ref="F34:F60" ca="1" si="2">OFFSET(D34,0,0,1,1)</f>
        <v>0</v>
      </c>
      <c r="L34" s="179" t="e">
        <f t="shared" ca="1" si="0"/>
        <v>#N/A</v>
      </c>
      <c r="M34" s="179" t="e">
        <f t="shared" si="1"/>
        <v>#N/A</v>
      </c>
      <c r="P34" s="445" t="str">
        <f>CONCATENATE(B32," ",ScorecardGraphsChoice)</f>
        <v>Variable Ag Expenses 2016</v>
      </c>
    </row>
    <row r="35" spans="2:16" ht="12" customHeight="1" x14ac:dyDescent="0.2">
      <c r="B35" s="209" t="s">
        <v>318</v>
      </c>
      <c r="C35" s="295">
        <f>(ACFVCChemTot)</f>
        <v>0</v>
      </c>
      <c r="D35" s="295">
        <f>(MCFVCChemTot)</f>
        <v>0</v>
      </c>
      <c r="E35" s="179">
        <f ca="1">OFFSET(C35,0,0,1,1)</f>
        <v>0</v>
      </c>
      <c r="F35" s="180">
        <f t="shared" ca="1" si="2"/>
        <v>0</v>
      </c>
      <c r="L35" s="179" t="e">
        <f t="shared" ca="1" si="0"/>
        <v>#N/A</v>
      </c>
      <c r="M35" s="179" t="e">
        <f t="shared" si="1"/>
        <v>#N/A</v>
      </c>
    </row>
    <row r="36" spans="2:16" ht="12" customHeight="1" x14ac:dyDescent="0.2">
      <c r="B36" s="209" t="s">
        <v>298</v>
      </c>
      <c r="C36" s="295">
        <f>(ACFVCCropInsTot)</f>
        <v>0</v>
      </c>
      <c r="D36" s="295">
        <f>(MCFVCCropInsTot)</f>
        <v>0</v>
      </c>
      <c r="E36" s="179">
        <f ca="1">OFFSET(C36,0,0,1,1)</f>
        <v>0</v>
      </c>
      <c r="F36" s="180">
        <f t="shared" ca="1" si="2"/>
        <v>0</v>
      </c>
      <c r="L36" s="179" t="e">
        <f t="shared" ca="1" si="0"/>
        <v>#N/A</v>
      </c>
      <c r="M36" s="179" t="e">
        <f t="shared" si="1"/>
        <v>#N/A</v>
      </c>
    </row>
    <row r="37" spans="2:16" ht="12" customHeight="1" x14ac:dyDescent="0.2">
      <c r="B37" s="209" t="s">
        <v>331</v>
      </c>
      <c r="C37" s="295">
        <f>(ACFVCDryingTot)</f>
        <v>0</v>
      </c>
      <c r="D37" s="295">
        <f>(MCFVCDryingTot)</f>
        <v>0</v>
      </c>
      <c r="E37" s="180">
        <f ca="1">OFFSET(C37,0,0,1,1)</f>
        <v>0</v>
      </c>
      <c r="F37" s="180">
        <f t="shared" ca="1" si="2"/>
        <v>0</v>
      </c>
      <c r="G37" s="7"/>
      <c r="H37" s="7"/>
      <c r="I37" s="7"/>
      <c r="J37" s="7"/>
      <c r="K37" s="7"/>
      <c r="L37" s="179" t="e">
        <f t="shared" ca="1" si="0"/>
        <v>#N/A</v>
      </c>
      <c r="M37" s="179" t="e">
        <f t="shared" si="1"/>
        <v>#N/A</v>
      </c>
    </row>
    <row r="38" spans="2:16" s="6" customFormat="1" ht="12" customHeight="1" x14ac:dyDescent="0.2">
      <c r="B38" s="209" t="s">
        <v>320</v>
      </c>
      <c r="C38" s="295">
        <f>(ACFVCStorageTot)</f>
        <v>0</v>
      </c>
      <c r="D38" s="295">
        <f>(MCFVCStorageTot)</f>
        <v>0</v>
      </c>
      <c r="E38" s="180">
        <f ca="1">OFFSET(C38,0,0,1,1)</f>
        <v>0</v>
      </c>
      <c r="F38" s="180">
        <f t="shared" ca="1" si="2"/>
        <v>0</v>
      </c>
      <c r="G38" s="9"/>
      <c r="H38" s="9"/>
      <c r="I38" s="9"/>
      <c r="J38" s="9"/>
      <c r="K38" s="9"/>
      <c r="L38" s="179" t="e">
        <f t="shared" ca="1" si="0"/>
        <v>#N/A</v>
      </c>
      <c r="M38" s="179" t="e">
        <f t="shared" si="1"/>
        <v>#N/A</v>
      </c>
    </row>
    <row r="39" spans="2:16" s="6" customFormat="1" ht="12" customHeight="1" x14ac:dyDescent="0.2">
      <c r="B39" s="209" t="s">
        <v>321</v>
      </c>
      <c r="C39" s="294">
        <f>(ACFVCGreenhouseSuppliesTot)</f>
        <v>0</v>
      </c>
      <c r="D39" s="295">
        <f>(MCFVCGreenhouseSuppliesTot)</f>
        <v>0</v>
      </c>
      <c r="E39" s="180">
        <f t="shared" ref="E39:E60" ca="1" si="3">OFFSET(C39,0,0,1,1)</f>
        <v>0</v>
      </c>
      <c r="F39" s="180">
        <f t="shared" ca="1" si="2"/>
        <v>0</v>
      </c>
      <c r="G39" s="9"/>
      <c r="H39" s="9"/>
      <c r="I39" s="9"/>
      <c r="J39" s="9"/>
      <c r="K39" s="9"/>
      <c r="L39" s="179" t="e">
        <f t="shared" ca="1" si="0"/>
        <v>#N/A</v>
      </c>
      <c r="M39" s="179" t="e">
        <f t="shared" si="1"/>
        <v>#N/A</v>
      </c>
    </row>
    <row r="40" spans="2:16" s="6" customFormat="1" ht="12" customHeight="1" x14ac:dyDescent="0.2">
      <c r="B40" s="209" t="s">
        <v>322</v>
      </c>
      <c r="C40" s="294">
        <f>(ACFVCCropSuppliesTot)</f>
        <v>0</v>
      </c>
      <c r="D40" s="295">
        <f>(MCFVCCropSuppliesTot)</f>
        <v>0</v>
      </c>
      <c r="E40" s="180">
        <f t="shared" ca="1" si="3"/>
        <v>0</v>
      </c>
      <c r="F40" s="180">
        <f t="shared" ca="1" si="2"/>
        <v>0</v>
      </c>
      <c r="G40" s="9"/>
      <c r="H40" s="9"/>
      <c r="I40" s="9"/>
      <c r="J40" s="9"/>
      <c r="K40" s="9"/>
      <c r="L40" s="179" t="e">
        <f t="shared" ca="1" si="0"/>
        <v>#N/A</v>
      </c>
      <c r="M40" s="179" t="e">
        <f t="shared" si="1"/>
        <v>#N/A</v>
      </c>
    </row>
    <row r="41" spans="2:16" s="6" customFormat="1" ht="12" customHeight="1" x14ac:dyDescent="0.2">
      <c r="B41" s="209" t="s">
        <v>323</v>
      </c>
      <c r="C41" s="294">
        <f>(ACFVCIrrigationTot)</f>
        <v>0</v>
      </c>
      <c r="D41" s="295">
        <f>(MCFVCIrrigationTot)</f>
        <v>0</v>
      </c>
      <c r="E41" s="180">
        <f t="shared" ca="1" si="3"/>
        <v>0</v>
      </c>
      <c r="F41" s="180">
        <f t="shared" ca="1" si="2"/>
        <v>0</v>
      </c>
      <c r="G41" s="9"/>
      <c r="H41" s="9"/>
      <c r="I41" s="9"/>
      <c r="J41" s="9"/>
      <c r="K41" s="9"/>
      <c r="L41" s="179" t="e">
        <f t="shared" ca="1" si="0"/>
        <v>#N/A</v>
      </c>
      <c r="M41" s="179" t="e">
        <f t="shared" si="1"/>
        <v>#N/A</v>
      </c>
    </row>
    <row r="42" spans="2:16" s="6" customFormat="1" ht="12" customHeight="1" x14ac:dyDescent="0.2">
      <c r="B42" s="209" t="s">
        <v>513</v>
      </c>
      <c r="C42" s="294">
        <f>(ACFVCCropConsultTot)+(ACFVCLivestockConsultTot)</f>
        <v>0</v>
      </c>
      <c r="D42" s="295">
        <f>(MCFVCCropConsultTot)+(MCFVCLivestockConsultTot)</f>
        <v>0</v>
      </c>
      <c r="E42" s="180">
        <f t="shared" ca="1" si="3"/>
        <v>0</v>
      </c>
      <c r="F42" s="180">
        <f t="shared" ca="1" si="2"/>
        <v>0</v>
      </c>
      <c r="G42" s="9"/>
      <c r="H42" s="9"/>
      <c r="I42" s="9"/>
      <c r="J42" s="9"/>
      <c r="K42" s="9"/>
      <c r="L42" s="179" t="e">
        <f t="shared" ca="1" si="0"/>
        <v>#N/A</v>
      </c>
      <c r="M42" s="179" t="e">
        <f t="shared" si="1"/>
        <v>#N/A</v>
      </c>
    </row>
    <row r="43" spans="2:16" s="6" customFormat="1" ht="12" customHeight="1" x14ac:dyDescent="0.2">
      <c r="B43" s="209" t="s">
        <v>332</v>
      </c>
      <c r="C43" s="294">
        <f>(ACFVCCropMarketingTot)</f>
        <v>0</v>
      </c>
      <c r="D43" s="295">
        <f>(MCFVCCropMarketingTot)</f>
        <v>0</v>
      </c>
      <c r="E43" s="180">
        <f t="shared" ca="1" si="3"/>
        <v>0</v>
      </c>
      <c r="F43" s="180">
        <f t="shared" ca="1" si="2"/>
        <v>0</v>
      </c>
      <c r="G43" s="9"/>
      <c r="H43" s="9"/>
      <c r="I43" s="9"/>
      <c r="J43" s="9"/>
      <c r="K43" s="9"/>
      <c r="L43" s="179" t="e">
        <f t="shared" ca="1" si="0"/>
        <v>#N/A</v>
      </c>
      <c r="M43" s="179" t="e">
        <f t="shared" si="1"/>
        <v>#N/A</v>
      </c>
    </row>
    <row r="44" spans="2:16" s="6" customFormat="1" ht="12" customHeight="1" x14ac:dyDescent="0.2">
      <c r="B44" s="209" t="s">
        <v>313</v>
      </c>
      <c r="C44" s="294">
        <f>(ACFVCFeederLivestockTot)</f>
        <v>0</v>
      </c>
      <c r="D44" s="295">
        <f>(MCFVCFeederLivestockTot)</f>
        <v>0</v>
      </c>
      <c r="E44" s="180">
        <f t="shared" ca="1" si="3"/>
        <v>0</v>
      </c>
      <c r="F44" s="180">
        <f t="shared" ca="1" si="2"/>
        <v>0</v>
      </c>
      <c r="G44" s="9"/>
      <c r="H44" s="9"/>
      <c r="I44" s="9"/>
      <c r="J44" s="9"/>
      <c r="K44" s="9"/>
      <c r="L44" s="179" t="e">
        <f t="shared" ca="1" si="0"/>
        <v>#N/A</v>
      </c>
      <c r="M44" s="179" t="e">
        <f t="shared" si="1"/>
        <v>#N/A</v>
      </c>
    </row>
    <row r="45" spans="2:16" s="6" customFormat="1" ht="12" customHeight="1" x14ac:dyDescent="0.2">
      <c r="B45" s="209" t="s">
        <v>314</v>
      </c>
      <c r="C45" s="294">
        <f>(ACFVCPurchFeedTot)</f>
        <v>0</v>
      </c>
      <c r="D45" s="295">
        <f>(MCFVCPurchFeedTot)</f>
        <v>0</v>
      </c>
      <c r="E45" s="180">
        <f t="shared" ca="1" si="3"/>
        <v>0</v>
      </c>
      <c r="F45" s="180">
        <f t="shared" ca="1" si="2"/>
        <v>0</v>
      </c>
      <c r="G45" s="9"/>
      <c r="H45" s="9"/>
      <c r="I45" s="9"/>
      <c r="J45" s="9"/>
      <c r="K45" s="9"/>
      <c r="L45" s="179" t="e">
        <f t="shared" ca="1" si="0"/>
        <v>#N/A</v>
      </c>
      <c r="M45" s="179" t="e">
        <f t="shared" si="1"/>
        <v>#N/A</v>
      </c>
    </row>
    <row r="46" spans="2:16" ht="12" customHeight="1" x14ac:dyDescent="0.2">
      <c r="B46" s="209" t="s">
        <v>551</v>
      </c>
      <c r="C46" s="294">
        <f>(ACFVCVetTot)</f>
        <v>0</v>
      </c>
      <c r="D46" s="295">
        <f>(MCFVCVetTot)</f>
        <v>0</v>
      </c>
      <c r="E46" s="179">
        <f t="shared" ca="1" si="3"/>
        <v>0</v>
      </c>
      <c r="F46" s="180">
        <f t="shared" ca="1" si="2"/>
        <v>0</v>
      </c>
      <c r="L46" s="179" t="e">
        <f t="shared" ca="1" si="0"/>
        <v>#N/A</v>
      </c>
      <c r="M46" s="179" t="e">
        <f t="shared" si="1"/>
        <v>#N/A</v>
      </c>
    </row>
    <row r="47" spans="2:16" ht="12" customHeight="1" x14ac:dyDescent="0.2">
      <c r="B47" s="209" t="s">
        <v>307</v>
      </c>
      <c r="C47" s="294">
        <f>(ACFVCLivestockSuppliesTot)</f>
        <v>0</v>
      </c>
      <c r="D47" s="295">
        <f>(MCFVCLivestockSuppliesTot)</f>
        <v>0</v>
      </c>
      <c r="E47" s="630">
        <f t="shared" ca="1" si="3"/>
        <v>0</v>
      </c>
      <c r="F47" s="180">
        <f t="shared" ca="1" si="2"/>
        <v>0</v>
      </c>
      <c r="G47" s="7"/>
      <c r="H47" s="7"/>
      <c r="I47" s="7"/>
      <c r="J47" s="7"/>
      <c r="K47" s="7"/>
      <c r="L47" s="179" t="e">
        <f t="shared" ca="1" si="0"/>
        <v>#N/A</v>
      </c>
      <c r="M47" s="179" t="e">
        <f t="shared" si="1"/>
        <v>#N/A</v>
      </c>
    </row>
    <row r="48" spans="2:16" ht="12" customHeight="1" x14ac:dyDescent="0.2">
      <c r="B48" s="209" t="s">
        <v>312</v>
      </c>
      <c r="C48" s="294">
        <f>(ACFVCLivestockInsuranceTot)</f>
        <v>0</v>
      </c>
      <c r="D48" s="295">
        <f>(MCFVCLivestockInsuranceTot)</f>
        <v>0</v>
      </c>
      <c r="E48" s="630">
        <f t="shared" ca="1" si="3"/>
        <v>0</v>
      </c>
      <c r="F48" s="180">
        <f t="shared" ca="1" si="2"/>
        <v>0</v>
      </c>
      <c r="G48" s="7"/>
      <c r="H48" s="7"/>
      <c r="I48" s="7"/>
      <c r="J48" s="7"/>
      <c r="K48" s="7"/>
      <c r="L48" s="179" t="e">
        <f t="shared" ca="1" si="0"/>
        <v>#N/A</v>
      </c>
      <c r="M48" s="179" t="e">
        <f t="shared" si="1"/>
        <v>#N/A</v>
      </c>
    </row>
    <row r="49" spans="2:14" ht="12" customHeight="1" x14ac:dyDescent="0.2">
      <c r="B49" s="209" t="s">
        <v>311</v>
      </c>
      <c r="C49" s="294">
        <f>(ACFVCGrazingTot)</f>
        <v>0</v>
      </c>
      <c r="D49" s="295">
        <f>(MCFVCGrazingTot)</f>
        <v>0</v>
      </c>
      <c r="E49" s="630">
        <f t="shared" ca="1" si="3"/>
        <v>0</v>
      </c>
      <c r="F49" s="180">
        <f t="shared" ca="1" si="2"/>
        <v>0</v>
      </c>
      <c r="G49" s="7"/>
      <c r="H49" s="7"/>
      <c r="I49" s="7"/>
      <c r="J49" s="7"/>
      <c r="K49" s="7"/>
      <c r="L49" s="179" t="e">
        <f t="shared" ca="1" si="0"/>
        <v>#N/A</v>
      </c>
      <c r="M49" s="179" t="e">
        <f t="shared" si="1"/>
        <v>#N/A</v>
      </c>
    </row>
    <row r="50" spans="2:14" ht="12" customHeight="1" x14ac:dyDescent="0.2">
      <c r="B50" s="209" t="s">
        <v>310</v>
      </c>
      <c r="C50" s="294">
        <f>(ACFVCGovProgTot)</f>
        <v>0</v>
      </c>
      <c r="D50" s="295">
        <f>(MCFVCGovProgTot)</f>
        <v>0</v>
      </c>
      <c r="E50" s="179">
        <f t="shared" ca="1" si="3"/>
        <v>0</v>
      </c>
      <c r="F50" s="180">
        <f t="shared" ca="1" si="2"/>
        <v>0</v>
      </c>
      <c r="L50" s="179" t="e">
        <f t="shared" ca="1" si="0"/>
        <v>#N/A</v>
      </c>
      <c r="M50" s="179" t="e">
        <f t="shared" si="1"/>
        <v>#N/A</v>
      </c>
    </row>
    <row r="51" spans="2:14" ht="12" customHeight="1" x14ac:dyDescent="0.2">
      <c r="B51" s="209" t="s">
        <v>308</v>
      </c>
      <c r="C51" s="294">
        <f>(ACFVCLivestockMarketingTot)</f>
        <v>0</v>
      </c>
      <c r="D51" s="295">
        <f>(MCFVCLivestockMarketingTot)</f>
        <v>0</v>
      </c>
      <c r="E51" s="630">
        <f t="shared" ca="1" si="3"/>
        <v>0</v>
      </c>
      <c r="F51" s="180">
        <f t="shared" ca="1" si="2"/>
        <v>0</v>
      </c>
      <c r="G51" s="7"/>
      <c r="H51" s="7"/>
      <c r="I51" s="7"/>
      <c r="J51" s="7"/>
      <c r="K51" s="7"/>
      <c r="L51" s="179" t="e">
        <f t="shared" ca="1" si="0"/>
        <v>#N/A</v>
      </c>
      <c r="M51" s="179" t="e">
        <f t="shared" si="1"/>
        <v>#N/A</v>
      </c>
    </row>
    <row r="52" spans="2:14" s="6" customFormat="1" ht="12" customHeight="1" x14ac:dyDescent="0.2">
      <c r="B52" s="209" t="s">
        <v>300</v>
      </c>
      <c r="C52" s="294">
        <f>(ACFFCLandRentTot)</f>
        <v>0</v>
      </c>
      <c r="D52" s="295">
        <f>(MCFFCLandRentTot)</f>
        <v>0</v>
      </c>
      <c r="E52" s="630">
        <f t="shared" ca="1" si="3"/>
        <v>0</v>
      </c>
      <c r="F52" s="180">
        <f t="shared" ca="1" si="2"/>
        <v>0</v>
      </c>
      <c r="G52" s="9"/>
      <c r="H52" s="9"/>
      <c r="I52" s="9"/>
      <c r="J52" s="9"/>
      <c r="K52" s="9"/>
      <c r="L52" s="179" t="e">
        <f t="shared" ca="1" si="0"/>
        <v>#N/A</v>
      </c>
      <c r="M52" s="179" t="e">
        <f t="shared" si="1"/>
        <v>#N/A</v>
      </c>
      <c r="N52" s="3"/>
    </row>
    <row r="53" spans="2:14" ht="12" customHeight="1" x14ac:dyDescent="0.2">
      <c r="B53" s="209" t="s">
        <v>45</v>
      </c>
      <c r="C53" s="294">
        <f>(ACFVCFuelTot)</f>
        <v>0</v>
      </c>
      <c r="D53" s="295">
        <f>(MCFVCFuelTot)</f>
        <v>0</v>
      </c>
      <c r="E53" s="630">
        <f t="shared" ca="1" si="3"/>
        <v>0</v>
      </c>
      <c r="F53" s="180">
        <f t="shared" ca="1" si="2"/>
        <v>0</v>
      </c>
      <c r="G53" s="7"/>
      <c r="H53" s="7"/>
      <c r="I53" s="7"/>
      <c r="J53" s="7"/>
      <c r="K53" s="7"/>
      <c r="L53" s="179" t="e">
        <f t="shared" ca="1" si="0"/>
        <v>#N/A</v>
      </c>
      <c r="M53" s="179" t="e">
        <f t="shared" si="1"/>
        <v>#N/A</v>
      </c>
    </row>
    <row r="54" spans="2:14" ht="12" customHeight="1" x14ac:dyDescent="0.2">
      <c r="B54" s="209" t="s">
        <v>71</v>
      </c>
      <c r="C54" s="294">
        <f>(ACFVCRepairsTot)</f>
        <v>0</v>
      </c>
      <c r="D54" s="295">
        <f>(MCFVCRepairsTot)</f>
        <v>0</v>
      </c>
      <c r="E54" s="630">
        <f t="shared" ca="1" si="3"/>
        <v>0</v>
      </c>
      <c r="F54" s="180">
        <f t="shared" ca="1" si="2"/>
        <v>0</v>
      </c>
      <c r="G54" s="7"/>
      <c r="H54" s="7"/>
      <c r="I54" s="7"/>
      <c r="J54" s="7"/>
      <c r="K54" s="7"/>
      <c r="L54" s="179" t="e">
        <f t="shared" ca="1" si="0"/>
        <v>#N/A</v>
      </c>
      <c r="M54" s="179" t="e">
        <f t="shared" si="1"/>
        <v>#N/A</v>
      </c>
    </row>
    <row r="55" spans="2:14" ht="12" customHeight="1" x14ac:dyDescent="0.2">
      <c r="B55" s="209" t="s">
        <v>304</v>
      </c>
      <c r="C55" s="294">
        <f>(ACFVCLaborTot)</f>
        <v>0</v>
      </c>
      <c r="D55" s="295">
        <f>(MCFVCLaborTot)</f>
        <v>0</v>
      </c>
      <c r="E55" s="180">
        <f t="shared" ca="1" si="3"/>
        <v>0</v>
      </c>
      <c r="F55" s="180">
        <f t="shared" ca="1" si="2"/>
        <v>0</v>
      </c>
      <c r="G55" s="7"/>
      <c r="H55" s="7"/>
      <c r="I55" s="7"/>
      <c r="J55" s="7"/>
      <c r="K55" s="7"/>
      <c r="L55" s="179" t="e">
        <f t="shared" ca="1" si="0"/>
        <v>#N/A</v>
      </c>
      <c r="M55" s="179" t="e">
        <f t="shared" si="1"/>
        <v>#N/A</v>
      </c>
    </row>
    <row r="56" spans="2:14" ht="12" customHeight="1" x14ac:dyDescent="0.2">
      <c r="B56" s="209" t="s">
        <v>306</v>
      </c>
      <c r="C56" s="294">
        <f>(ACFVCCustomHireTot)</f>
        <v>0</v>
      </c>
      <c r="D56" s="295">
        <f>(MCFVCCustomHireTot)</f>
        <v>0</v>
      </c>
      <c r="E56" s="630">
        <f t="shared" ca="1" si="3"/>
        <v>0</v>
      </c>
      <c r="F56" s="180">
        <f t="shared" ca="1" si="2"/>
        <v>0</v>
      </c>
      <c r="G56" s="7"/>
      <c r="H56" s="7"/>
      <c r="I56" s="7"/>
      <c r="J56" s="7"/>
      <c r="K56" s="7"/>
      <c r="L56" s="179" t="e">
        <f t="shared" ca="1" si="0"/>
        <v>#N/A</v>
      </c>
      <c r="M56" s="179" t="e">
        <f t="shared" si="1"/>
        <v>#N/A</v>
      </c>
    </row>
    <row r="57" spans="2:14" ht="12" customHeight="1" x14ac:dyDescent="0.2">
      <c r="B57" s="209" t="s">
        <v>47</v>
      </c>
      <c r="C57" s="294">
        <f>(ACFVCUtilTot)</f>
        <v>0</v>
      </c>
      <c r="D57" s="295">
        <f>(MCFVCUtilTot)</f>
        <v>0</v>
      </c>
      <c r="E57" s="630">
        <f t="shared" ca="1" si="3"/>
        <v>0</v>
      </c>
      <c r="F57" s="180">
        <f t="shared" ca="1" si="2"/>
        <v>0</v>
      </c>
      <c r="G57" s="7"/>
      <c r="H57" s="7"/>
      <c r="I57" s="7"/>
      <c r="J57" s="7"/>
      <c r="K57" s="7"/>
      <c r="L57" s="179" t="e">
        <f t="shared" ca="1" si="0"/>
        <v>#N/A</v>
      </c>
      <c r="M57" s="179" t="e">
        <f t="shared" si="1"/>
        <v>#N/A</v>
      </c>
    </row>
    <row r="58" spans="2:14" ht="12" customHeight="1" x14ac:dyDescent="0.2">
      <c r="B58" s="209" t="s">
        <v>46</v>
      </c>
      <c r="C58" s="295">
        <f>(ACFVCTaxesTot)+(ACFFCPermitTot)</f>
        <v>0</v>
      </c>
      <c r="D58" s="295">
        <f>(MCFVCTaxesTot)+(MCFFCPermitTot)</f>
        <v>0</v>
      </c>
      <c r="E58" s="630">
        <f t="shared" ca="1" si="3"/>
        <v>0</v>
      </c>
      <c r="F58" s="180">
        <f t="shared" ca="1" si="2"/>
        <v>0</v>
      </c>
      <c r="G58" s="7"/>
      <c r="H58" s="7"/>
      <c r="I58" s="7"/>
      <c r="J58" s="7"/>
      <c r="K58" s="7"/>
      <c r="L58" s="179" t="e">
        <f t="shared" ca="1" si="0"/>
        <v>#N/A</v>
      </c>
      <c r="M58" s="179" t="e">
        <f t="shared" si="1"/>
        <v>#N/A</v>
      </c>
    </row>
    <row r="59" spans="2:14" ht="12" customHeight="1" x14ac:dyDescent="0.2">
      <c r="B59" s="605" t="s">
        <v>385</v>
      </c>
      <c r="C59" s="295">
        <f>(ACFVCOthTot)</f>
        <v>0</v>
      </c>
      <c r="D59" s="295">
        <f>(MCFVCOthTot)</f>
        <v>0</v>
      </c>
      <c r="E59" s="180">
        <f t="shared" ca="1" si="3"/>
        <v>0</v>
      </c>
      <c r="F59" s="180">
        <f t="shared" ca="1" si="2"/>
        <v>0</v>
      </c>
      <c r="G59" s="7"/>
      <c r="H59" s="7"/>
      <c r="I59" s="7"/>
      <c r="J59" s="7"/>
      <c r="K59" s="7"/>
      <c r="L59" s="179" t="e">
        <f t="shared" ca="1" si="0"/>
        <v>#N/A</v>
      </c>
      <c r="M59" s="179" t="e">
        <f t="shared" si="1"/>
        <v>#N/A</v>
      </c>
    </row>
    <row r="60" spans="2:14" ht="12" customHeight="1" x14ac:dyDescent="0.2">
      <c r="B60" s="186" t="s">
        <v>507</v>
      </c>
      <c r="C60" s="291">
        <f>SUM(C33:C59)</f>
        <v>0</v>
      </c>
      <c r="D60" s="291">
        <f>SUM(D33:D59)</f>
        <v>0</v>
      </c>
      <c r="E60" s="179">
        <f t="shared" ca="1" si="3"/>
        <v>0</v>
      </c>
      <c r="F60" s="180">
        <f t="shared" ca="1" si="2"/>
        <v>0</v>
      </c>
      <c r="G60" s="7"/>
      <c r="H60" s="7"/>
      <c r="I60" s="7"/>
      <c r="J60" s="7"/>
      <c r="K60" s="7"/>
      <c r="L60" s="446"/>
    </row>
    <row r="61" spans="2:14" ht="1.5" customHeight="1" x14ac:dyDescent="0.2">
      <c r="B61" s="204"/>
      <c r="C61" s="62"/>
      <c r="D61" s="66"/>
      <c r="E61" s="445"/>
      <c r="F61" s="7"/>
      <c r="G61" s="7"/>
      <c r="H61" s="7"/>
      <c r="I61" s="7"/>
      <c r="J61" s="7"/>
      <c r="K61" s="7"/>
      <c r="L61" s="7"/>
    </row>
    <row r="62" spans="2:14" x14ac:dyDescent="0.2">
      <c r="B62" s="72" t="s">
        <v>458</v>
      </c>
      <c r="C62" s="62"/>
      <c r="D62" s="66"/>
      <c r="E62" s="445"/>
      <c r="F62" s="7"/>
      <c r="G62" s="7"/>
      <c r="H62" s="7"/>
      <c r="I62" s="7"/>
      <c r="J62" s="7"/>
      <c r="K62" s="7"/>
      <c r="L62" s="7"/>
    </row>
    <row r="63" spans="2:14" s="6" customFormat="1" ht="12" customHeight="1" x14ac:dyDescent="0.2">
      <c r="B63" s="206" t="s">
        <v>303</v>
      </c>
      <c r="C63" s="294">
        <f>(ACFFCMachLeaseTot)</f>
        <v>0</v>
      </c>
      <c r="D63" s="294">
        <f>(MCFFCMachLeaseTot)</f>
        <v>0</v>
      </c>
      <c r="E63" s="180">
        <f ca="1">OFFSET(C63,0,0,1,1)</f>
        <v>0</v>
      </c>
      <c r="F63" s="180">
        <f ca="1">OFFSET(D63,0,0,1,1)</f>
        <v>0</v>
      </c>
      <c r="G63" s="9"/>
      <c r="H63" s="9"/>
      <c r="I63" s="9"/>
      <c r="J63" s="9"/>
      <c r="K63" s="9"/>
      <c r="L63" s="9"/>
    </row>
    <row r="64" spans="2:14" s="6" customFormat="1" ht="12" customHeight="1" x14ac:dyDescent="0.2">
      <c r="B64" s="209" t="s">
        <v>73</v>
      </c>
      <c r="C64" s="295">
        <f>(ACFFCInterestTot)</f>
        <v>0</v>
      </c>
      <c r="D64" s="295">
        <f>(MCFFCInterestTot)</f>
        <v>0</v>
      </c>
      <c r="E64" s="630">
        <f t="shared" ref="E64:E72" ca="1" si="4">OFFSET(C64,0,0,1,1)</f>
        <v>0</v>
      </c>
      <c r="F64" s="180">
        <f t="shared" ref="F64:F72" ca="1" si="5">OFFSET(D64,0,0,1,1)</f>
        <v>0</v>
      </c>
      <c r="G64" s="9"/>
      <c r="H64" s="9"/>
      <c r="I64" s="9"/>
      <c r="J64" s="9"/>
      <c r="K64" s="9"/>
      <c r="L64" s="9"/>
    </row>
    <row r="65" spans="2:13" s="6" customFormat="1" ht="12" customHeight="1" x14ac:dyDescent="0.2">
      <c r="B65" s="209" t="s">
        <v>411</v>
      </c>
      <c r="C65" s="295">
        <f>(ACFFCDeprEquipTot+ACFFCDeprLivestockTot+ACFFCDeprBuildTot)</f>
        <v>0</v>
      </c>
      <c r="D65" s="295">
        <f>(MCFFCDeprEquipTot+MCFFCDeprLivestockTot+MCFFCDeprBuildTot)</f>
        <v>0</v>
      </c>
      <c r="E65" s="630">
        <f t="shared" ca="1" si="4"/>
        <v>0</v>
      </c>
      <c r="F65" s="180">
        <f t="shared" ca="1" si="5"/>
        <v>0</v>
      </c>
      <c r="G65" s="9"/>
      <c r="H65" s="9"/>
      <c r="I65" s="9"/>
      <c r="J65" s="9"/>
      <c r="K65" s="9"/>
      <c r="L65" s="9"/>
    </row>
    <row r="66" spans="2:13" s="6" customFormat="1" ht="12" hidden="1" customHeight="1" x14ac:dyDescent="0.2">
      <c r="B66" s="205" t="s">
        <v>325</v>
      </c>
      <c r="C66" s="295"/>
      <c r="D66" s="295"/>
      <c r="E66" s="180">
        <f t="shared" ca="1" si="4"/>
        <v>0</v>
      </c>
      <c r="F66" s="180">
        <f t="shared" ca="1" si="5"/>
        <v>0</v>
      </c>
      <c r="G66" s="9"/>
      <c r="H66" s="9"/>
      <c r="I66" s="9"/>
      <c r="J66" s="9"/>
      <c r="K66" s="9"/>
      <c r="L66" s="9"/>
      <c r="M66" s="447" t="str">
        <f>CONCATENATE("Variable Ag Expenses - ",Year1)</f>
        <v>Variable Ag Expenses - 2016</v>
      </c>
    </row>
    <row r="67" spans="2:13" s="6" customFormat="1" ht="12" hidden="1" customHeight="1" x14ac:dyDescent="0.2">
      <c r="B67" s="205" t="s">
        <v>326</v>
      </c>
      <c r="C67" s="295"/>
      <c r="D67" s="295"/>
      <c r="E67" s="180">
        <f t="shared" ca="1" si="4"/>
        <v>0</v>
      </c>
      <c r="F67" s="180">
        <f t="shared" ca="1" si="5"/>
        <v>0</v>
      </c>
      <c r="G67" s="9"/>
      <c r="H67" s="9"/>
      <c r="I67" s="9"/>
      <c r="J67" s="9"/>
      <c r="K67" s="9"/>
      <c r="L67" s="9"/>
      <c r="M67" s="447"/>
    </row>
    <row r="68" spans="2:13" ht="12" customHeight="1" x14ac:dyDescent="0.2">
      <c r="B68" s="206" t="s">
        <v>302</v>
      </c>
      <c r="C68" s="295">
        <f>(ACFFCFarmInsTot)</f>
        <v>0</v>
      </c>
      <c r="D68" s="295">
        <f>(MCFFCFarmInsTot)</f>
        <v>0</v>
      </c>
      <c r="E68" s="630">
        <f t="shared" ca="1" si="4"/>
        <v>0</v>
      </c>
      <c r="F68" s="179">
        <f t="shared" ca="1" si="5"/>
        <v>0</v>
      </c>
      <c r="G68" s="7"/>
      <c r="H68" s="7"/>
      <c r="I68" s="7"/>
      <c r="J68" s="7"/>
      <c r="K68" s="7"/>
      <c r="L68" s="7"/>
    </row>
    <row r="69" spans="2:13" ht="12" customHeight="1" x14ac:dyDescent="0.2">
      <c r="B69" s="208" t="s">
        <v>301</v>
      </c>
      <c r="C69" s="295">
        <f>(ACFFCProfTot)</f>
        <v>0</v>
      </c>
      <c r="D69" s="295">
        <f>(MCFFCProfTot)</f>
        <v>0</v>
      </c>
      <c r="E69" s="630">
        <f t="shared" ca="1" si="4"/>
        <v>0</v>
      </c>
      <c r="F69" s="179">
        <f t="shared" ca="1" si="5"/>
        <v>0</v>
      </c>
      <c r="G69" s="7"/>
      <c r="H69" s="7"/>
      <c r="I69" s="7"/>
      <c r="J69" s="7"/>
      <c r="K69" s="7"/>
      <c r="L69" s="7"/>
    </row>
    <row r="70" spans="2:13" ht="12" customHeight="1" x14ac:dyDescent="0.2">
      <c r="B70" s="206" t="s">
        <v>66</v>
      </c>
      <c r="C70" s="295">
        <f>(ACFFCPropTaxTot)</f>
        <v>0</v>
      </c>
      <c r="D70" s="295">
        <f>(MCFFCPropTaxTot)</f>
        <v>0</v>
      </c>
      <c r="E70" s="630">
        <f t="shared" ca="1" si="4"/>
        <v>0</v>
      </c>
      <c r="F70" s="179">
        <f t="shared" ca="1" si="5"/>
        <v>0</v>
      </c>
      <c r="G70" s="7"/>
      <c r="H70" s="7"/>
      <c r="I70" s="7"/>
      <c r="J70" s="7"/>
      <c r="K70" s="7"/>
      <c r="L70" s="7"/>
    </row>
    <row r="71" spans="2:13" ht="12" customHeight="1" x14ac:dyDescent="0.2">
      <c r="B71" s="209" t="s">
        <v>448</v>
      </c>
      <c r="C71" s="295">
        <f>(ACFFCOthTot)</f>
        <v>0</v>
      </c>
      <c r="D71" s="295">
        <f>(MCFFCOthTot)</f>
        <v>0</v>
      </c>
      <c r="E71" s="630">
        <f t="shared" ca="1" si="4"/>
        <v>0</v>
      </c>
      <c r="F71" s="179">
        <f t="shared" ca="1" si="5"/>
        <v>0</v>
      </c>
      <c r="G71" s="7"/>
      <c r="H71" s="7"/>
      <c r="I71" s="7"/>
      <c r="J71" s="7"/>
      <c r="K71" s="7"/>
      <c r="L71" s="7"/>
    </row>
    <row r="72" spans="2:13" x14ac:dyDescent="0.2">
      <c r="B72" s="190" t="s">
        <v>508</v>
      </c>
      <c r="C72" s="291">
        <f>SUM(C63:C71)</f>
        <v>0</v>
      </c>
      <c r="D72" s="291">
        <f>SUM(D63:D71)</f>
        <v>0</v>
      </c>
      <c r="E72" s="179">
        <f t="shared" ca="1" si="4"/>
        <v>0</v>
      </c>
      <c r="F72" s="179">
        <f t="shared" ca="1" si="5"/>
        <v>0</v>
      </c>
      <c r="G72" s="7"/>
      <c r="H72" s="7"/>
      <c r="I72" s="7"/>
      <c r="J72" s="7"/>
      <c r="K72" s="7"/>
      <c r="L72" s="7"/>
    </row>
    <row r="73" spans="2:13" ht="1.5" customHeight="1" x14ac:dyDescent="0.2">
      <c r="B73" s="190"/>
      <c r="C73" s="296"/>
      <c r="D73" s="297"/>
      <c r="F73" s="7"/>
      <c r="G73" s="7"/>
      <c r="H73" s="7"/>
      <c r="I73" s="7"/>
      <c r="J73" s="7"/>
      <c r="K73" s="7"/>
      <c r="L73" s="7"/>
    </row>
    <row r="74" spans="2:13" x14ac:dyDescent="0.2">
      <c r="B74" s="190" t="s">
        <v>467</v>
      </c>
      <c r="C74" s="291">
        <f>C60+C72</f>
        <v>0</v>
      </c>
      <c r="D74" s="291">
        <f>D60+D72</f>
        <v>0</v>
      </c>
      <c r="F74" s="7"/>
      <c r="G74" s="7"/>
      <c r="H74" s="7"/>
      <c r="I74" s="7"/>
      <c r="J74" s="7"/>
      <c r="K74" s="7"/>
      <c r="L74" s="7"/>
    </row>
    <row r="75" spans="2:13" ht="1.5" customHeight="1" x14ac:dyDescent="0.2">
      <c r="B75" s="190"/>
      <c r="C75" s="149"/>
      <c r="D75" s="297"/>
      <c r="F75" s="7"/>
      <c r="G75" s="7"/>
      <c r="H75" s="7"/>
      <c r="I75" s="7"/>
      <c r="J75" s="7"/>
      <c r="K75" s="7"/>
      <c r="L75" s="7"/>
    </row>
    <row r="76" spans="2:13" s="11" customFormat="1" ht="15.95" customHeight="1" x14ac:dyDescent="0.25">
      <c r="B76" s="716" t="s">
        <v>245</v>
      </c>
      <c r="C76" s="717">
        <f>C30-C74</f>
        <v>0</v>
      </c>
      <c r="D76" s="717">
        <f>D30-D74</f>
        <v>0</v>
      </c>
      <c r="E76" s="178">
        <f ca="1">OFFSET(C76,0,0,1,1)</f>
        <v>0</v>
      </c>
      <c r="F76" s="178">
        <f ca="1">OFFSET(D76,0,0,1,1)</f>
        <v>0</v>
      </c>
      <c r="G76" s="12"/>
      <c r="H76" s="12"/>
      <c r="I76" s="12"/>
      <c r="J76" s="12"/>
      <c r="K76" s="12"/>
      <c r="L76" s="12"/>
    </row>
    <row r="77" spans="2:13" s="11" customFormat="1" ht="1.5" customHeight="1" x14ac:dyDescent="0.25">
      <c r="B77" s="65"/>
      <c r="C77" s="713"/>
      <c r="D77" s="714"/>
      <c r="E77" s="178"/>
      <c r="F77" s="178"/>
      <c r="G77" s="12"/>
      <c r="H77" s="12"/>
      <c r="I77" s="12"/>
      <c r="J77" s="12"/>
      <c r="K77" s="12"/>
      <c r="L77" s="12"/>
    </row>
    <row r="78" spans="2:13" ht="12" customHeight="1" x14ac:dyDescent="0.2">
      <c r="B78" s="1094"/>
      <c r="C78" s="1095"/>
      <c r="D78" s="1096"/>
      <c r="E78" s="6"/>
      <c r="F78" s="6"/>
    </row>
    <row r="79" spans="2:13" ht="12" customHeight="1" x14ac:dyDescent="0.2">
      <c r="B79" s="1091" t="s">
        <v>512</v>
      </c>
      <c r="C79" s="1092"/>
      <c r="D79" s="1093"/>
      <c r="E79" s="6"/>
      <c r="F79" s="6"/>
    </row>
    <row r="80" spans="2:13" ht="12" customHeight="1" x14ac:dyDescent="0.2">
      <c r="B80" s="1088" t="str">
        <f>IF(Name&gt;"",Name,IF(BusName&gt;"",BusName,""))</f>
        <v/>
      </c>
      <c r="C80" s="1089"/>
      <c r="D80" s="1090"/>
      <c r="E80" s="6"/>
      <c r="F80" s="6"/>
    </row>
    <row r="81" spans="2:6" ht="12" customHeight="1" x14ac:dyDescent="0.2">
      <c r="B81" s="67"/>
      <c r="C81" s="711">
        <f>Year1</f>
        <v>2016</v>
      </c>
      <c r="D81" s="712" t="str">
        <f>Year2</f>
        <v>2017 Projected</v>
      </c>
      <c r="E81" s="6"/>
      <c r="F81" s="6"/>
    </row>
    <row r="82" spans="2:6" ht="5.0999999999999996" customHeight="1" x14ac:dyDescent="0.2">
      <c r="B82" s="67"/>
      <c r="C82" s="149"/>
      <c r="D82" s="189"/>
      <c r="E82" s="6"/>
      <c r="F82" s="6"/>
    </row>
    <row r="83" spans="2:6" ht="12" customHeight="1" x14ac:dyDescent="0.2">
      <c r="B83" s="184" t="s">
        <v>334</v>
      </c>
      <c r="C83" s="149">
        <f>Year1GCFI</f>
        <v>0</v>
      </c>
      <c r="D83" s="189">
        <f>Year2GCFIProj</f>
        <v>0</v>
      </c>
      <c r="E83" s="6"/>
      <c r="F83" s="6"/>
    </row>
    <row r="84" spans="2:6" ht="12" customHeight="1" x14ac:dyDescent="0.2">
      <c r="B84" s="184" t="s">
        <v>510</v>
      </c>
      <c r="C84" s="149">
        <f>C60</f>
        <v>0</v>
      </c>
      <c r="D84" s="189">
        <f>D60</f>
        <v>0</v>
      </c>
      <c r="E84" s="6"/>
      <c r="F84" s="6"/>
    </row>
    <row r="85" spans="2:6" ht="12" customHeight="1" thickBot="1" x14ac:dyDescent="0.25">
      <c r="B85" s="709" t="s">
        <v>511</v>
      </c>
      <c r="C85" s="707">
        <f>C72</f>
        <v>0</v>
      </c>
      <c r="D85" s="708">
        <f>D72</f>
        <v>0</v>
      </c>
      <c r="E85" s="6"/>
      <c r="F85" s="6"/>
    </row>
    <row r="86" spans="2:6" ht="16.5" thickTop="1" x14ac:dyDescent="0.25">
      <c r="B86" s="710" t="s">
        <v>509</v>
      </c>
      <c r="C86" s="713">
        <f>C83-C84-C85</f>
        <v>0</v>
      </c>
      <c r="D86" s="714">
        <f>D83-D84-D85</f>
        <v>0</v>
      </c>
      <c r="E86" s="6"/>
      <c r="F86" s="6"/>
    </row>
    <row r="87" spans="2:6" x14ac:dyDescent="0.2">
      <c r="B87" s="191" t="s">
        <v>407</v>
      </c>
      <c r="C87" s="284">
        <f>(ACFINVChangeTot)</f>
        <v>0</v>
      </c>
      <c r="D87" s="284">
        <f>(MCFINVChangeTot)</f>
        <v>0</v>
      </c>
    </row>
    <row r="88" spans="2:6" ht="12" customHeight="1" x14ac:dyDescent="0.2">
      <c r="B88" s="191" t="s">
        <v>327</v>
      </c>
      <c r="C88" s="284">
        <f>(ACFGainEquipTot+ACFGainBuildTot+ACFGainPurchLivestockTot)</f>
        <v>0</v>
      </c>
      <c r="D88" s="284">
        <f>(MCFGainEquipTot+MCFGainBuildTot+MCFGainPurchLivestockTot)</f>
        <v>0</v>
      </c>
      <c r="E88" s="181"/>
      <c r="F88" s="6"/>
    </row>
    <row r="89" spans="2:6" ht="12" customHeight="1" x14ac:dyDescent="0.2">
      <c r="B89" s="191" t="s">
        <v>328</v>
      </c>
      <c r="C89" s="284">
        <f>C65+C66+C67</f>
        <v>0</v>
      </c>
      <c r="D89" s="284">
        <f>D65+D66+D67</f>
        <v>0</v>
      </c>
      <c r="E89" s="182"/>
      <c r="F89" s="6"/>
    </row>
    <row r="90" spans="2:6" ht="12" customHeight="1" x14ac:dyDescent="0.2">
      <c r="B90" s="191" t="s">
        <v>427</v>
      </c>
      <c r="C90" s="287">
        <f>(ACFPrinTot+ACFPrinOpTot)</f>
        <v>0</v>
      </c>
      <c r="D90" s="287">
        <f>(MCFPrinTot+MCFPrinOpTot)</f>
        <v>0</v>
      </c>
      <c r="E90" s="182"/>
      <c r="F90" s="6"/>
    </row>
    <row r="91" spans="2:6" ht="12" customHeight="1" x14ac:dyDescent="0.2">
      <c r="B91" s="191" t="s">
        <v>428</v>
      </c>
      <c r="C91" s="287">
        <f>(ACFNewCredTot)</f>
        <v>0</v>
      </c>
      <c r="D91" s="287">
        <f>(MCFNewCredTot)</f>
        <v>0</v>
      </c>
      <c r="E91" s="182"/>
      <c r="F91" s="6"/>
    </row>
    <row r="92" spans="2:6" ht="12" customHeight="1" x14ac:dyDescent="0.2">
      <c r="B92" s="191" t="s">
        <v>429</v>
      </c>
      <c r="C92" s="287">
        <f>(ACFNewOpTot)</f>
        <v>0</v>
      </c>
      <c r="D92" s="287">
        <f>(MCFNewOpTot)</f>
        <v>0</v>
      </c>
      <c r="E92" s="182"/>
      <c r="F92" s="6"/>
    </row>
    <row r="93" spans="2:6" ht="12" customHeight="1" x14ac:dyDescent="0.2">
      <c r="B93" s="191" t="s">
        <v>156</v>
      </c>
      <c r="C93" s="287">
        <f>(ACFCapPurchEquipTot+ACFCapPurchLivestockTot+ACFCapPurchBuildingsTot)</f>
        <v>0</v>
      </c>
      <c r="D93" s="287">
        <f>(MCFCapPurchEquipTot+MCFCapPurchLivestockTot+MCFCapPurchBuildingsTot)</f>
        <v>0</v>
      </c>
      <c r="E93" s="182"/>
      <c r="F93" s="6"/>
    </row>
    <row r="94" spans="2:6" ht="12" customHeight="1" x14ac:dyDescent="0.2">
      <c r="B94" s="191" t="s">
        <v>330</v>
      </c>
      <c r="C94" s="287">
        <f>(ACFSalesEquipTot+ACFSalesBuildTot)</f>
        <v>0</v>
      </c>
      <c r="D94" s="287">
        <f>(MCFSalesEquipTot+MCFSalesBuildTot)</f>
        <v>0</v>
      </c>
      <c r="E94" s="182"/>
      <c r="F94" s="6"/>
    </row>
    <row r="95" spans="2:6" ht="12" customHeight="1" x14ac:dyDescent="0.2">
      <c r="B95" s="191" t="s">
        <v>469</v>
      </c>
      <c r="C95" s="287">
        <f>(ACFCullIncomeTot)</f>
        <v>0</v>
      </c>
      <c r="D95" s="287">
        <f>(MCFCullIncomeTot)</f>
        <v>0</v>
      </c>
      <c r="E95" s="182"/>
      <c r="F95" s="6"/>
    </row>
    <row r="96" spans="2:6" ht="12" hidden="1" customHeight="1" x14ac:dyDescent="0.2">
      <c r="B96" s="191" t="s">
        <v>329</v>
      </c>
      <c r="C96" s="626"/>
      <c r="D96" s="287"/>
      <c r="E96" s="182"/>
      <c r="F96" s="6"/>
    </row>
    <row r="97" spans="1:13" ht="1.5" customHeight="1" x14ac:dyDescent="0.2">
      <c r="B97" s="674"/>
      <c r="C97" s="222"/>
      <c r="D97" s="287"/>
      <c r="E97" s="6"/>
      <c r="F97" s="6"/>
    </row>
    <row r="98" spans="1:13" ht="15.95" customHeight="1" thickBot="1" x14ac:dyDescent="0.3">
      <c r="B98" s="192" t="s">
        <v>242</v>
      </c>
      <c r="C98" s="285">
        <f>C76-C87-C88+C89-C90+C91+C92-C93+C94+C95+C96</f>
        <v>0</v>
      </c>
      <c r="D98" s="286">
        <f>D76-D87-D88+D89-D90+D91+D92-D93+D94+D95+D96</f>
        <v>0</v>
      </c>
      <c r="E98" s="52"/>
      <c r="F98" s="6"/>
    </row>
    <row r="99" spans="1:13" ht="1.5" customHeight="1" thickTop="1" thickBot="1" x14ac:dyDescent="0.3">
      <c r="B99" s="193"/>
      <c r="C99" s="210"/>
      <c r="D99" s="211"/>
      <c r="E99" s="52"/>
      <c r="F99" s="6"/>
    </row>
    <row r="100" spans="1:13" ht="3" customHeight="1" thickTop="1" x14ac:dyDescent="0.2">
      <c r="A100" t="s">
        <v>449</v>
      </c>
      <c r="B100" s="13"/>
      <c r="D100" s="218"/>
      <c r="E100" s="170"/>
      <c r="F100" s="168"/>
    </row>
    <row r="101" spans="1:13" x14ac:dyDescent="0.2">
      <c r="B101" s="1079" t="str">
        <f>B10</f>
        <v>Income Statement &amp; Cash Flow Summary</v>
      </c>
      <c r="C101" s="1080"/>
      <c r="D101" s="1081"/>
      <c r="M101" s="445" t="str">
        <f>CONCATENATE("Variable Direct Marketing Expenses - ",ScorecardGraphsChoice)</f>
        <v>Variable Direct Marketing Expenses - 2016</v>
      </c>
    </row>
    <row r="102" spans="1:13" ht="12.75" customHeight="1" x14ac:dyDescent="0.2">
      <c r="B102" s="1082"/>
      <c r="C102" s="1083"/>
      <c r="D102" s="1084"/>
    </row>
    <row r="103" spans="1:13" ht="18.75" customHeight="1" x14ac:dyDescent="0.2">
      <c r="B103" s="1082"/>
      <c r="C103" s="1083"/>
      <c r="D103" s="1084"/>
    </row>
    <row r="104" spans="1:13" ht="6.95" customHeight="1" x14ac:dyDescent="0.2">
      <c r="B104" s="201"/>
      <c r="C104" s="160"/>
      <c r="D104" s="66"/>
    </row>
    <row r="105" spans="1:13" ht="14.25" x14ac:dyDescent="0.2">
      <c r="B105" s="1085" t="str">
        <f>B80</f>
        <v/>
      </c>
      <c r="C105" s="1086"/>
      <c r="D105" s="1087"/>
    </row>
    <row r="106" spans="1:13" ht="15" x14ac:dyDescent="0.2">
      <c r="A106" t="s">
        <v>450</v>
      </c>
      <c r="B106" s="1076" t="s">
        <v>463</v>
      </c>
      <c r="C106" s="1077"/>
      <c r="D106" s="1078"/>
      <c r="E106" s="169"/>
      <c r="F106" s="150"/>
    </row>
    <row r="107" spans="1:13" x14ac:dyDescent="0.2">
      <c r="A107" t="s">
        <v>450</v>
      </c>
      <c r="B107" s="72" t="s">
        <v>70</v>
      </c>
      <c r="C107" s="292">
        <f>Year1</f>
        <v>2016</v>
      </c>
      <c r="D107" s="293" t="str">
        <f>Year2</f>
        <v>2017 Projected</v>
      </c>
      <c r="E107" s="169"/>
      <c r="F107" s="150"/>
    </row>
    <row r="108" spans="1:13" x14ac:dyDescent="0.2">
      <c r="A108" t="s">
        <v>450</v>
      </c>
      <c r="B108" s="184" t="s">
        <v>276</v>
      </c>
      <c r="C108" s="219">
        <f>IF(HowSell="Direct to Processor",0,ACFDMSalesFarmMktTot)</f>
        <v>0</v>
      </c>
      <c r="D108" s="294">
        <f>IF(HowSell="Direct to Processor",0,MCFDMSalesFarmMktTot)</f>
        <v>0</v>
      </c>
      <c r="E108" s="631"/>
      <c r="F108" s="632"/>
    </row>
    <row r="109" spans="1:13" x14ac:dyDescent="0.2">
      <c r="A109" t="s">
        <v>450</v>
      </c>
      <c r="B109" s="184" t="s">
        <v>277</v>
      </c>
      <c r="C109" s="219">
        <f>IF(HowSell="Direct to Processor",0,ACFDMSalesCSATot)</f>
        <v>0</v>
      </c>
      <c r="D109" s="294">
        <f>IF(HowSell="Direct to Processor",0,MCFDMSalesCSATot)</f>
        <v>0</v>
      </c>
      <c r="E109" s="631"/>
      <c r="F109" s="632"/>
    </row>
    <row r="110" spans="1:13" x14ac:dyDescent="0.2">
      <c r="A110" t="s">
        <v>450</v>
      </c>
      <c r="B110" s="184" t="s">
        <v>278</v>
      </c>
      <c r="C110" s="219">
        <f>IF(HowSell="Direct to Processor",0,ACFDMSalesFarmstandTot)</f>
        <v>0</v>
      </c>
      <c r="D110" s="294">
        <f>IF(HowSell="Direct to Processor",0,MCFDMSalesFarmstandTot)</f>
        <v>0</v>
      </c>
      <c r="E110" s="631"/>
      <c r="F110" s="632"/>
    </row>
    <row r="111" spans="1:13" x14ac:dyDescent="0.2">
      <c r="A111" t="s">
        <v>450</v>
      </c>
      <c r="B111" s="184" t="s">
        <v>279</v>
      </c>
      <c r="C111" s="219">
        <f>IF(HowSell="Direct to Processor",0,ACFDMSalesOtherTot)</f>
        <v>0</v>
      </c>
      <c r="D111" s="294">
        <f>IF(HowSell="Direct to Processor",0,MCFDMSalesOtherTot)</f>
        <v>0</v>
      </c>
      <c r="E111" s="631"/>
      <c r="F111" s="632"/>
    </row>
    <row r="112" spans="1:13" x14ac:dyDescent="0.2">
      <c r="A112" t="s">
        <v>450</v>
      </c>
      <c r="B112" s="184" t="s">
        <v>69</v>
      </c>
      <c r="C112" s="220">
        <f>IF(HowSell="Direct to Processor",0,ACFDMEtcTot)</f>
        <v>0</v>
      </c>
      <c r="D112" s="295">
        <f>IF(HowSell="Direct to Processor",0,MCFDMEtcTot)</f>
        <v>0</v>
      </c>
      <c r="E112" s="631"/>
      <c r="F112" s="632"/>
    </row>
    <row r="113" spans="1:13" x14ac:dyDescent="0.2">
      <c r="A113" t="s">
        <v>450</v>
      </c>
      <c r="B113" s="191" t="s">
        <v>406</v>
      </c>
      <c r="C113" s="220">
        <f>IF(HowSell="Direct to Processor",0,ACFDMINVChangeTot)</f>
        <v>0</v>
      </c>
      <c r="D113" s="295">
        <f>IF(HowSell="Direct to Processor",0,MCFDMINVChangeTot)</f>
        <v>0</v>
      </c>
      <c r="E113" s="631"/>
      <c r="F113" s="632"/>
    </row>
    <row r="114" spans="1:13" x14ac:dyDescent="0.2">
      <c r="A114" t="s">
        <v>450</v>
      </c>
      <c r="B114" s="184" t="s">
        <v>337</v>
      </c>
      <c r="C114" s="220">
        <f>IF(HowSell="Direct to Processor",0,ACFDMEquipGainTot)</f>
        <v>0</v>
      </c>
      <c r="D114" s="295">
        <f>IF(HowSell="Direct to Processor",0,MCFDMEquipGainTot)</f>
        <v>0</v>
      </c>
      <c r="E114" s="631"/>
      <c r="F114" s="632"/>
    </row>
    <row r="115" spans="1:13" x14ac:dyDescent="0.2">
      <c r="A115" t="s">
        <v>450</v>
      </c>
      <c r="B115" s="185" t="s">
        <v>0</v>
      </c>
      <c r="C115" s="220">
        <f>IF(HowSell="Direct to Processor",0,ACFDMOthTot)</f>
        <v>0</v>
      </c>
      <c r="D115" s="295">
        <f>IF(HowSell="Direct to Processor",0,MCFDMOthTot)</f>
        <v>0</v>
      </c>
      <c r="E115" s="631"/>
      <c r="F115" s="632"/>
    </row>
    <row r="116" spans="1:13" x14ac:dyDescent="0.2">
      <c r="A116" t="s">
        <v>450</v>
      </c>
      <c r="B116" s="186" t="s">
        <v>120</v>
      </c>
      <c r="C116" s="290">
        <f>SUM(C108:C112)-C113+SUM(C114:C115)</f>
        <v>0</v>
      </c>
      <c r="D116" s="291">
        <f>SUM(D108:D112)-D113+SUM(D114:D115)</f>
        <v>0</v>
      </c>
      <c r="E116" s="179">
        <f ca="1">IF(HowSell="Direct to Processor","",OFFSET(C116,0,0,1,1))</f>
        <v>0</v>
      </c>
      <c r="F116" s="632">
        <f ca="1">IF(HowSell="Direct to Processor","",OFFSET(D116,0,0,1,1))</f>
        <v>0</v>
      </c>
    </row>
    <row r="117" spans="1:13" ht="6.95" customHeight="1" x14ac:dyDescent="0.2">
      <c r="A117" t="s">
        <v>450</v>
      </c>
      <c r="B117" s="67"/>
      <c r="C117" s="62"/>
      <c r="D117" s="66"/>
      <c r="E117" s="169"/>
      <c r="F117" s="150"/>
    </row>
    <row r="118" spans="1:13" x14ac:dyDescent="0.2">
      <c r="A118" t="s">
        <v>450</v>
      </c>
      <c r="B118" s="72" t="s">
        <v>461</v>
      </c>
      <c r="C118" s="62"/>
      <c r="D118" s="66"/>
      <c r="E118" s="169"/>
      <c r="F118" s="150"/>
      <c r="M118" s="627"/>
    </row>
    <row r="119" spans="1:13" x14ac:dyDescent="0.2">
      <c r="A119" t="s">
        <v>450</v>
      </c>
      <c r="B119" s="184" t="s">
        <v>55</v>
      </c>
      <c r="C119" s="222">
        <f>IF(HowSell="Direct to Processor",0,ACFDMVCLaborTot)</f>
        <v>0</v>
      </c>
      <c r="D119" s="287">
        <f>IF(HowSell="Direct to Processor",0,MCFDMVCLaborTot)</f>
        <v>0</v>
      </c>
      <c r="E119" s="179">
        <f t="shared" ref="E119:E128" ca="1" si="6">IF(HowSell="Direct to Processor",NA(),IF(ScorecardGraphNumber=1,OFFSET(C119,0,0,1,1),OFFSET(D119,0,0,1,1)))</f>
        <v>0</v>
      </c>
      <c r="F119" s="632"/>
      <c r="M119" s="179" t="str">
        <f t="shared" ref="M119:M128" ca="1" si="7">IF(HowSell="Direct to Processor","",OFFSET(B119,0,0,1,1))</f>
        <v>Labor</v>
      </c>
    </row>
    <row r="120" spans="1:13" x14ac:dyDescent="0.2">
      <c r="A120" t="s">
        <v>450</v>
      </c>
      <c r="B120" s="184" t="s">
        <v>48</v>
      </c>
      <c r="C120" s="222">
        <f>IF(HowSell="Direct to Processor",0,ACFDMVCInsTot)</f>
        <v>0</v>
      </c>
      <c r="D120" s="287">
        <f>IF(HowSell="Direct to Processor",0,MCFDMVCInsTot)</f>
        <v>0</v>
      </c>
      <c r="E120" s="179">
        <f t="shared" ca="1" si="6"/>
        <v>0</v>
      </c>
      <c r="F120" s="632"/>
      <c r="M120" s="179" t="str">
        <f t="shared" ca="1" si="7"/>
        <v>Insurance</v>
      </c>
    </row>
    <row r="121" spans="1:13" x14ac:dyDescent="0.2">
      <c r="A121" t="s">
        <v>450</v>
      </c>
      <c r="B121" s="184" t="s">
        <v>56</v>
      </c>
      <c r="C121" s="222">
        <f>IF(HowSell="Direct to Processor",0,ACFDMVCPackTot)</f>
        <v>0</v>
      </c>
      <c r="D121" s="287">
        <f>IF(HowSell="Direct to Processor",0,MCFDMVCPackTot)</f>
        <v>0</v>
      </c>
      <c r="E121" s="179">
        <f t="shared" ca="1" si="6"/>
        <v>0</v>
      </c>
      <c r="F121" s="632"/>
      <c r="M121" s="179" t="str">
        <f t="shared" ca="1" si="7"/>
        <v>Packaging</v>
      </c>
    </row>
    <row r="122" spans="1:13" x14ac:dyDescent="0.2">
      <c r="A122" t="s">
        <v>450</v>
      </c>
      <c r="B122" s="184" t="s">
        <v>68</v>
      </c>
      <c r="C122" s="222">
        <f>IF(HowSell="Direct to Processor",0,ACFDMVCSuppliesTot)</f>
        <v>0</v>
      </c>
      <c r="D122" s="287">
        <f>IF(HowSell="Direct to Processor",0,MCFDMVCSuppliesTot)</f>
        <v>0</v>
      </c>
      <c r="E122" s="179">
        <f t="shared" ca="1" si="6"/>
        <v>0</v>
      </c>
      <c r="F122" s="632"/>
      <c r="M122" s="179" t="str">
        <f t="shared" ca="1" si="7"/>
        <v>Processing Supplies</v>
      </c>
    </row>
    <row r="123" spans="1:13" x14ac:dyDescent="0.2">
      <c r="A123" t="s">
        <v>450</v>
      </c>
      <c r="B123" s="184" t="s">
        <v>283</v>
      </c>
      <c r="C123" s="222">
        <f>IF(HowSell="Direct to Processor",0,ACFDMVCMktSuppTot)</f>
        <v>0</v>
      </c>
      <c r="D123" s="287">
        <f>IF(HowSell="Direct to Processor",0,MCFDMVCMktSuppTot)</f>
        <v>0</v>
      </c>
      <c r="E123" s="179">
        <f t="shared" ca="1" si="6"/>
        <v>0</v>
      </c>
      <c r="F123" s="632"/>
      <c r="M123" s="179" t="str">
        <f ca="1">IF(HowSell="Direct to Processor","",OFFSET(B123,0,0,1,1))</f>
        <v>Market Supplies</v>
      </c>
    </row>
    <row r="124" spans="1:13" x14ac:dyDescent="0.2">
      <c r="A124" t="s">
        <v>450</v>
      </c>
      <c r="B124" s="184" t="s">
        <v>57</v>
      </c>
      <c r="C124" s="222">
        <f>IF(HowSell="Direct to Processor",0,ACFDMVCShippingTot)</f>
        <v>0</v>
      </c>
      <c r="D124" s="287">
        <f>IF(HowSell="Direct to Processor",0,MCFDMVCShippingTot)</f>
        <v>0</v>
      </c>
      <c r="E124" s="179">
        <f t="shared" ca="1" si="6"/>
        <v>0</v>
      </c>
      <c r="F124" s="632"/>
      <c r="M124" s="179" t="str">
        <f t="shared" ca="1" si="7"/>
        <v>Shipping</v>
      </c>
    </row>
    <row r="125" spans="1:13" x14ac:dyDescent="0.2">
      <c r="A125" t="s">
        <v>450</v>
      </c>
      <c r="B125" s="184" t="s">
        <v>47</v>
      </c>
      <c r="C125" s="222">
        <f>IF(HowSell="Direct to Processor",0,ACFDMVCUtilTot)</f>
        <v>0</v>
      </c>
      <c r="D125" s="287">
        <f>IF(HowSell="Direct to Processor",0,MCFDMVCUtilTot)</f>
        <v>0</v>
      </c>
      <c r="E125" s="179">
        <f t="shared" ca="1" si="6"/>
        <v>0</v>
      </c>
      <c r="F125" s="632"/>
      <c r="M125" s="179" t="str">
        <f t="shared" ca="1" si="7"/>
        <v>Utilities</v>
      </c>
    </row>
    <row r="126" spans="1:13" x14ac:dyDescent="0.2">
      <c r="A126" t="s">
        <v>450</v>
      </c>
      <c r="B126" s="184" t="s">
        <v>67</v>
      </c>
      <c r="C126" s="222">
        <f>IF(HowSell="Direct to Processor",0,ACFDMVCColdTot)</f>
        <v>0</v>
      </c>
      <c r="D126" s="287">
        <f>IF(HowSell="Direct to Processor",0,MCFDMVCColdTot)</f>
        <v>0</v>
      </c>
      <c r="E126" s="179">
        <f t="shared" ca="1" si="6"/>
        <v>0</v>
      </c>
      <c r="F126" s="632"/>
      <c r="M126" s="179" t="str">
        <f t="shared" ca="1" si="7"/>
        <v>Cold Storage Fees</v>
      </c>
    </row>
    <row r="127" spans="1:13" x14ac:dyDescent="0.2">
      <c r="A127" t="s">
        <v>450</v>
      </c>
      <c r="B127" s="184" t="s">
        <v>282</v>
      </c>
      <c r="C127" s="222">
        <f>IF(HowSell="Direct to Processor",0,ACFDMVCResaleTot)</f>
        <v>0</v>
      </c>
      <c r="D127" s="287">
        <f>IF(HowSell="Direct to Processor",0,MCFDMVCResaleTot)</f>
        <v>0</v>
      </c>
      <c r="E127" s="179">
        <f t="shared" ca="1" si="6"/>
        <v>0</v>
      </c>
      <c r="F127" s="632"/>
      <c r="M127" s="179" t="str">
        <f t="shared" ca="1" si="7"/>
        <v>Purchased for Resale</v>
      </c>
    </row>
    <row r="128" spans="1:13" x14ac:dyDescent="0.2">
      <c r="A128" t="s">
        <v>450</v>
      </c>
      <c r="B128" s="184" t="s">
        <v>452</v>
      </c>
      <c r="C128" s="222">
        <f>IF(HowSell="Direct to Processor",0,ACFDMVCOthTot)</f>
        <v>0</v>
      </c>
      <c r="D128" s="287">
        <f>IF(HowSell="Direct to Processor",0,MCFDMVCOthTot)</f>
        <v>0</v>
      </c>
      <c r="E128" s="179">
        <f t="shared" ca="1" si="6"/>
        <v>0</v>
      </c>
      <c r="F128" s="632"/>
      <c r="M128" s="179" t="str">
        <f t="shared" ca="1" si="7"/>
        <v>Other Direct Mkt Variable Expenses</v>
      </c>
    </row>
    <row r="129" spans="1:13" x14ac:dyDescent="0.2">
      <c r="A129" t="s">
        <v>450</v>
      </c>
      <c r="B129" s="186" t="s">
        <v>515</v>
      </c>
      <c r="C129" s="288">
        <f>SUM(C119:C128)</f>
        <v>0</v>
      </c>
      <c r="D129" s="289">
        <f>SUM(D119:D128)</f>
        <v>0</v>
      </c>
      <c r="E129" s="179">
        <f ca="1">IF(HowSell="Direct to Processor","",OFFSET(C129,0,0,1,1))</f>
        <v>0</v>
      </c>
      <c r="F129" s="632">
        <f ca="1">IF(HowSell="Direct to Processor","",OFFSET(D129,0,0,1,1))</f>
        <v>0</v>
      </c>
      <c r="M129" s="761"/>
    </row>
    <row r="130" spans="1:13" ht="6.95" customHeight="1" x14ac:dyDescent="0.2">
      <c r="A130" t="s">
        <v>450</v>
      </c>
      <c r="B130" s="187"/>
      <c r="C130" s="62"/>
      <c r="D130" s="188"/>
      <c r="E130" s="631"/>
      <c r="F130" s="632"/>
      <c r="M130" s="761"/>
    </row>
    <row r="131" spans="1:13" x14ac:dyDescent="0.2">
      <c r="A131" t="s">
        <v>450</v>
      </c>
      <c r="B131" s="72" t="s">
        <v>462</v>
      </c>
      <c r="C131" s="62"/>
      <c r="D131" s="188"/>
      <c r="E131" s="631"/>
      <c r="F131" s="632"/>
      <c r="M131" s="627"/>
    </row>
    <row r="132" spans="1:13" x14ac:dyDescent="0.2">
      <c r="A132" t="s">
        <v>450</v>
      </c>
      <c r="B132" s="184" t="s">
        <v>285</v>
      </c>
      <c r="C132" s="222">
        <f>IF(HowSell="Direct to Processor",0,ACFDMFCRentTot)</f>
        <v>0</v>
      </c>
      <c r="D132" s="287">
        <f>IF(HowSell="Direct to Processor",0,MCFDMFCRentTot)</f>
        <v>0</v>
      </c>
      <c r="E132" s="631"/>
      <c r="F132" s="632"/>
      <c r="M132" s="627"/>
    </row>
    <row r="133" spans="1:13" x14ac:dyDescent="0.2">
      <c r="A133" t="s">
        <v>450</v>
      </c>
      <c r="B133" s="184" t="s">
        <v>58</v>
      </c>
      <c r="C133" s="222">
        <f>IF(HowSell="Direct to Processor",0,ACFDMFCPromoTot)</f>
        <v>0</v>
      </c>
      <c r="D133" s="287">
        <f>IF(HowSell="Direct to Processor",0,MCFDMFCPromoTot)</f>
        <v>0</v>
      </c>
      <c r="E133" s="631"/>
      <c r="F133" s="632"/>
      <c r="M133" s="627"/>
    </row>
    <row r="134" spans="1:13" x14ac:dyDescent="0.2">
      <c r="A134" s="522" t="s">
        <v>450</v>
      </c>
      <c r="B134" s="184" t="s">
        <v>59</v>
      </c>
      <c r="C134" s="222">
        <f>IF(HowSell="Direct to Processor",0,ACFDMFCPermitTot)</f>
        <v>0</v>
      </c>
      <c r="D134" s="287">
        <f>IF(HowSell="Direct to Processor",0,MCFDMFCPermitTot)</f>
        <v>0</v>
      </c>
      <c r="E134" s="631"/>
      <c r="F134" s="632"/>
      <c r="M134" s="627"/>
    </row>
    <row r="135" spans="1:13" x14ac:dyDescent="0.2">
      <c r="A135" s="522" t="s">
        <v>450</v>
      </c>
      <c r="B135" s="184" t="s">
        <v>60</v>
      </c>
      <c r="C135" s="222">
        <f>IF(HowSell="Direct to Processor",0,ACFDMFCVehTot)</f>
        <v>0</v>
      </c>
      <c r="D135" s="287">
        <f>IF(HowSell="Direct to Processor",0,MCFDMFCVehTot)</f>
        <v>0</v>
      </c>
      <c r="E135" s="631"/>
      <c r="F135" s="632"/>
      <c r="M135" s="627"/>
    </row>
    <row r="136" spans="1:13" x14ac:dyDescent="0.2">
      <c r="A136" s="522" t="s">
        <v>450</v>
      </c>
      <c r="B136" s="184" t="s">
        <v>336</v>
      </c>
      <c r="C136" s="222">
        <f>IF(HowSell="Direct to Processor",0,ACFDMFCDeprTot)</f>
        <v>0</v>
      </c>
      <c r="D136" s="287">
        <f>IF(HowSell="Direct to Processor",0,MCFDMFCDeprTot)</f>
        <v>0</v>
      </c>
      <c r="E136" s="631"/>
      <c r="F136" s="632"/>
      <c r="M136" s="627"/>
    </row>
    <row r="137" spans="1:13" x14ac:dyDescent="0.2">
      <c r="A137" t="s">
        <v>450</v>
      </c>
      <c r="B137" s="184" t="s">
        <v>73</v>
      </c>
      <c r="C137" s="222">
        <f>IF(HowSell="Direct to Processor",0,ACFDMFCIntTot)</f>
        <v>0</v>
      </c>
      <c r="D137" s="287">
        <f>IF(HowSell="Direct to Processor",0,MCFDMFCIntTot)</f>
        <v>0</v>
      </c>
      <c r="E137" s="631"/>
      <c r="F137" s="632"/>
      <c r="M137" s="627"/>
    </row>
    <row r="138" spans="1:13" x14ac:dyDescent="0.2">
      <c r="A138" s="522" t="s">
        <v>450</v>
      </c>
      <c r="B138" s="184" t="s">
        <v>454</v>
      </c>
      <c r="C138" s="222">
        <f>IF(HowSell="Direct to Processor",0,ACFDMFCMiscTot)</f>
        <v>0</v>
      </c>
      <c r="D138" s="287">
        <f>IF(HowSell="Direct to Processor",0,MCFDMFCMiscTot)</f>
        <v>0</v>
      </c>
      <c r="E138" s="631"/>
      <c r="F138" s="632"/>
    </row>
    <row r="139" spans="1:13" x14ac:dyDescent="0.2">
      <c r="A139" s="522" t="s">
        <v>450</v>
      </c>
      <c r="B139" s="184" t="s">
        <v>455</v>
      </c>
      <c r="C139" s="222">
        <f>IF(HowSell="Direct to Processor",0,ACFDMFCOthTot)</f>
        <v>0</v>
      </c>
      <c r="D139" s="287">
        <f>IF(HowSell="Direct to Processor",0,MCFDMFCOthTot)</f>
        <v>0</v>
      </c>
      <c r="E139" s="631"/>
      <c r="F139" s="632"/>
    </row>
    <row r="140" spans="1:13" x14ac:dyDescent="0.2">
      <c r="A140" s="522" t="s">
        <v>450</v>
      </c>
      <c r="B140" s="186" t="s">
        <v>516</v>
      </c>
      <c r="C140" s="288">
        <f>SUM(C132:C139)</f>
        <v>0</v>
      </c>
      <c r="D140" s="289">
        <f>SUM(D132:D139)</f>
        <v>0</v>
      </c>
      <c r="E140" s="445">
        <f ca="1">IF(HowSell="Direct to Processor","",OFFSET(C140,0,0,1,1))</f>
        <v>0</v>
      </c>
      <c r="F140" s="150">
        <f ca="1">IF(HowSell="Direct to Processor","",OFFSET(D140,0,0,1,1))</f>
        <v>0</v>
      </c>
    </row>
    <row r="141" spans="1:13" ht="6.95" customHeight="1" x14ac:dyDescent="0.2">
      <c r="A141" s="522" t="s">
        <v>450</v>
      </c>
      <c r="B141" s="186"/>
      <c r="C141" s="149"/>
      <c r="D141" s="189"/>
      <c r="E141" s="169"/>
      <c r="F141" s="150"/>
    </row>
    <row r="142" spans="1:13" x14ac:dyDescent="0.2">
      <c r="A142" s="522" t="s">
        <v>450</v>
      </c>
      <c r="B142" s="190" t="s">
        <v>466</v>
      </c>
      <c r="C142" s="222">
        <f>C129+C140</f>
        <v>0</v>
      </c>
      <c r="D142" s="287">
        <f>D129+D140</f>
        <v>0</v>
      </c>
      <c r="E142" s="169"/>
      <c r="F142" s="150"/>
    </row>
    <row r="143" spans="1:13" ht="6.95" customHeight="1" x14ac:dyDescent="0.2">
      <c r="A143" s="522" t="s">
        <v>450</v>
      </c>
      <c r="B143" s="67"/>
      <c r="C143" s="149"/>
      <c r="D143" s="189"/>
      <c r="E143" s="169"/>
      <c r="F143" s="150"/>
    </row>
    <row r="144" spans="1:13" ht="16.5" thickBot="1" x14ac:dyDescent="0.3">
      <c r="A144" s="522" t="s">
        <v>450</v>
      </c>
      <c r="B144" s="523" t="s">
        <v>121</v>
      </c>
      <c r="C144" s="285">
        <f>C116-C129-C140</f>
        <v>0</v>
      </c>
      <c r="D144" s="286">
        <f>D116-D129-D140</f>
        <v>0</v>
      </c>
      <c r="E144" s="179">
        <f ca="1">IF(HowSell="Direct to Processor","",OFFSET(C144,0,0,1,1))</f>
        <v>0</v>
      </c>
      <c r="F144" s="179">
        <f ca="1">IF(HowSell="Direct to Processor","",OFFSET(D144,0,0,1,1))</f>
        <v>0</v>
      </c>
    </row>
    <row r="145" spans="1:6" ht="6.95" customHeight="1" thickTop="1" x14ac:dyDescent="0.2">
      <c r="A145" s="522" t="s">
        <v>450</v>
      </c>
      <c r="B145" s="67"/>
      <c r="C145" s="149"/>
      <c r="D145" s="189"/>
      <c r="E145" s="179" t="str">
        <f>IF(HowSell="Direct to Processor","","Direct Marketing Net Income")</f>
        <v>Direct Marketing Net Income</v>
      </c>
      <c r="F145" s="180"/>
    </row>
    <row r="146" spans="1:6" x14ac:dyDescent="0.2">
      <c r="A146" s="522" t="s">
        <v>450</v>
      </c>
      <c r="B146" s="191" t="s">
        <v>420</v>
      </c>
      <c r="C146" s="283">
        <f>C113</f>
        <v>0</v>
      </c>
      <c r="D146" s="284">
        <f>ACFDMINVChangeInput</f>
        <v>0</v>
      </c>
      <c r="E146" s="169"/>
      <c r="F146" s="150"/>
    </row>
    <row r="147" spans="1:6" x14ac:dyDescent="0.2">
      <c r="A147" t="s">
        <v>450</v>
      </c>
      <c r="B147" s="191" t="s">
        <v>414</v>
      </c>
      <c r="C147" s="283">
        <f>C115</f>
        <v>0</v>
      </c>
      <c r="D147" s="284">
        <f>D115</f>
        <v>0</v>
      </c>
      <c r="E147" s="169"/>
      <c r="F147" s="150"/>
    </row>
    <row r="148" spans="1:6" x14ac:dyDescent="0.2">
      <c r="A148" s="522" t="s">
        <v>450</v>
      </c>
      <c r="B148" s="191" t="s">
        <v>415</v>
      </c>
      <c r="C148" s="283">
        <f>C136</f>
        <v>0</v>
      </c>
      <c r="D148" s="284">
        <f>D136</f>
        <v>0</v>
      </c>
      <c r="E148" s="169"/>
      <c r="F148" s="150"/>
    </row>
    <row r="149" spans="1:6" x14ac:dyDescent="0.2">
      <c r="A149" s="522" t="s">
        <v>450</v>
      </c>
      <c r="B149" s="191" t="s">
        <v>416</v>
      </c>
      <c r="C149" s="222">
        <f>IF(HowSell="Direct to Processor",0,ACFDMPrinTot+ACFDMPrinOpTot)</f>
        <v>0</v>
      </c>
      <c r="D149" s="287">
        <f>IF(HowSell="Direct to Processor",0,MCFDMPrinTot+MCFDMPrinOpTot)</f>
        <v>0</v>
      </c>
      <c r="E149" s="169"/>
      <c r="F149" s="150"/>
    </row>
    <row r="150" spans="1:6" x14ac:dyDescent="0.2">
      <c r="A150" t="s">
        <v>450</v>
      </c>
      <c r="B150" s="191" t="s">
        <v>417</v>
      </c>
      <c r="C150" s="222">
        <f>IF(HowSell="Direct to Processor",0,ACFDMNewCredTot)</f>
        <v>0</v>
      </c>
      <c r="D150" s="287">
        <f>IF(HowSell="Direct to Processor",0,MCFDMNewCredTot)</f>
        <v>0</v>
      </c>
      <c r="E150" s="169"/>
      <c r="F150" s="150"/>
    </row>
    <row r="151" spans="1:6" x14ac:dyDescent="0.2">
      <c r="A151" t="s">
        <v>450</v>
      </c>
      <c r="B151" s="191" t="s">
        <v>418</v>
      </c>
      <c r="C151" s="222">
        <f>IF(HowSell="Direct to Processor",0,ACFDMNewDMOpTot)</f>
        <v>0</v>
      </c>
      <c r="D151" s="287">
        <f>IF(HowSell="Direct to Processor",0,MCFDMNewDMOpTot)</f>
        <v>0</v>
      </c>
      <c r="E151" s="169"/>
      <c r="F151" s="150"/>
    </row>
    <row r="152" spans="1:6" x14ac:dyDescent="0.2">
      <c r="A152" t="s">
        <v>450</v>
      </c>
      <c r="B152" s="191" t="s">
        <v>419</v>
      </c>
      <c r="C152" s="222">
        <f>IF(HowSell="Direct to Processor",0,ACFDMCapPurchTot)</f>
        <v>0</v>
      </c>
      <c r="D152" s="287">
        <f>IF(HowSell="Direct to Processor",0,MCFDMCapPurchTot)</f>
        <v>0</v>
      </c>
      <c r="E152" s="169"/>
      <c r="F152" s="150"/>
    </row>
    <row r="153" spans="1:6" x14ac:dyDescent="0.2">
      <c r="A153" s="522" t="s">
        <v>450</v>
      </c>
      <c r="B153" s="191" t="s">
        <v>413</v>
      </c>
      <c r="C153" s="222">
        <f>IF(HowSell="Direct to Processor",0,ACFDMEquipSaleTot)</f>
        <v>0</v>
      </c>
      <c r="D153" s="287">
        <f>IF(HowSell="Direct to Processor",0,MCFDMEquipSaleTot)</f>
        <v>0</v>
      </c>
      <c r="E153" s="169"/>
      <c r="F153" s="150"/>
    </row>
    <row r="154" spans="1:6" ht="6.95" customHeight="1" x14ac:dyDescent="0.2">
      <c r="A154" t="s">
        <v>450</v>
      </c>
      <c r="B154" s="675"/>
      <c r="C154" s="222"/>
      <c r="D154" s="287"/>
      <c r="E154" s="169"/>
      <c r="F154" s="150"/>
    </row>
    <row r="155" spans="1:6" ht="16.5" thickBot="1" x14ac:dyDescent="0.3">
      <c r="A155" t="s">
        <v>450</v>
      </c>
      <c r="B155" s="192" t="s">
        <v>122</v>
      </c>
      <c r="C155" s="285">
        <f>C144+C146-C147+C148-C149+C153+C150-C152+C151</f>
        <v>0</v>
      </c>
      <c r="D155" s="286">
        <f>D144+D146-D147+D148-D149+D153+D150-D152+D151</f>
        <v>0</v>
      </c>
      <c r="E155" s="169"/>
      <c r="F155" s="150"/>
    </row>
    <row r="156" spans="1:6" ht="5.0999999999999996" customHeight="1" thickTop="1" x14ac:dyDescent="0.25">
      <c r="A156" t="s">
        <v>450</v>
      </c>
      <c r="B156" s="193"/>
      <c r="C156" s="194"/>
      <c r="D156" s="195"/>
      <c r="E156" s="171"/>
      <c r="F156" s="172"/>
    </row>
    <row r="157" spans="1:6" ht="15.75" x14ac:dyDescent="0.25">
      <c r="A157" s="57" t="s">
        <v>456</v>
      </c>
      <c r="B157" s="64"/>
      <c r="C157" s="63"/>
      <c r="D157" s="63"/>
      <c r="E157" s="167"/>
      <c r="F157" s="150"/>
    </row>
    <row r="158" spans="1:6" ht="5.0999999999999996" customHeight="1" x14ac:dyDescent="0.2">
      <c r="B158" s="13"/>
      <c r="E158" s="6"/>
    </row>
    <row r="159" spans="1:6" ht="5.0999999999999996" customHeight="1" x14ac:dyDescent="0.25">
      <c r="B159" s="24"/>
      <c r="C159" s="63"/>
      <c r="E159" s="6"/>
    </row>
    <row r="160" spans="1:6" x14ac:dyDescent="0.2">
      <c r="B160" s="1079" t="str">
        <f>B10</f>
        <v>Income Statement &amp; Cash Flow Summary</v>
      </c>
      <c r="C160" s="1080"/>
      <c r="D160" s="1081"/>
    </row>
    <row r="161" spans="2:12" ht="12.75" customHeight="1" x14ac:dyDescent="0.2">
      <c r="B161" s="1082"/>
      <c r="C161" s="1083"/>
      <c r="D161" s="1084"/>
    </row>
    <row r="162" spans="2:12" ht="18.75" customHeight="1" x14ac:dyDescent="0.2">
      <c r="B162" s="1082"/>
      <c r="C162" s="1083"/>
      <c r="D162" s="1084"/>
    </row>
    <row r="163" spans="2:12" ht="18.75" hidden="1" customHeight="1" x14ac:dyDescent="0.3">
      <c r="B163" s="196"/>
      <c r="C163" s="197" t="s">
        <v>53</v>
      </c>
      <c r="D163" s="198" t="s">
        <v>54</v>
      </c>
    </row>
    <row r="164" spans="2:12" ht="13.7" hidden="1" customHeight="1" x14ac:dyDescent="0.2">
      <c r="B164" s="199" t="s">
        <v>52</v>
      </c>
      <c r="C164" s="53">
        <v>2014</v>
      </c>
      <c r="D164" s="200">
        <v>2015</v>
      </c>
      <c r="G164" s="30"/>
    </row>
    <row r="165" spans="2:12" ht="6.95" customHeight="1" x14ac:dyDescent="0.2">
      <c r="B165" s="201"/>
      <c r="C165" s="160"/>
      <c r="D165" s="66"/>
    </row>
    <row r="166" spans="2:12" ht="14.25" x14ac:dyDescent="0.2">
      <c r="B166" s="1085" t="str">
        <f>B105</f>
        <v/>
      </c>
      <c r="C166" s="1086"/>
      <c r="D166" s="1087"/>
    </row>
    <row r="167" spans="2:12" ht="15" x14ac:dyDescent="0.2">
      <c r="B167" s="1076" t="s">
        <v>135</v>
      </c>
      <c r="C167" s="1077"/>
      <c r="D167" s="1078"/>
      <c r="F167" s="7"/>
      <c r="G167" s="7"/>
      <c r="H167" s="7"/>
      <c r="I167" s="7"/>
      <c r="J167" s="7"/>
      <c r="K167" s="7"/>
      <c r="L167" s="7"/>
    </row>
    <row r="168" spans="2:12" x14ac:dyDescent="0.2">
      <c r="B168" s="67" t="s">
        <v>136</v>
      </c>
      <c r="C168" s="292">
        <f>Year1</f>
        <v>2016</v>
      </c>
      <c r="D168" s="293" t="str">
        <f>Year2</f>
        <v>2017 Projected</v>
      </c>
      <c r="E168" s="2"/>
    </row>
    <row r="169" spans="2:12" x14ac:dyDescent="0.2">
      <c r="B169" s="212" t="s">
        <v>17</v>
      </c>
      <c r="C169" s="634">
        <f>IF(ProjPersonal="Just Business Income and Expenses",0,ACFPWagesTot)</f>
        <v>0</v>
      </c>
      <c r="D169" s="294">
        <f>IF(ProjPersonal="Just Business Income and Expenses",0,MCFPWagesTot)</f>
        <v>0</v>
      </c>
    </row>
    <row r="170" spans="2:12" x14ac:dyDescent="0.2">
      <c r="B170" s="213" t="s">
        <v>18</v>
      </c>
      <c r="C170" s="220">
        <f>IF(ProjPersonal="Just Business Income and Expenses",0,ACFPIntIncTot)</f>
        <v>0</v>
      </c>
      <c r="D170" s="295">
        <f>IF(ProjPersonal="Just Business Income and Expenses",0,MCFPIntIncTot)</f>
        <v>0</v>
      </c>
    </row>
    <row r="171" spans="2:12" x14ac:dyDescent="0.2">
      <c r="B171" s="214" t="s">
        <v>131</v>
      </c>
      <c r="C171" s="220">
        <f>IF(ProjPersonal="Just Business Income and Expenses",0,ACFPInvestTot)</f>
        <v>0</v>
      </c>
      <c r="D171" s="295">
        <f>IF(ProjPersonal="Just Business Income and Expenses",0,MCFPInvestTot)</f>
        <v>0</v>
      </c>
    </row>
    <row r="172" spans="2:12" x14ac:dyDescent="0.2">
      <c r="B172" s="214" t="s">
        <v>216</v>
      </c>
      <c r="C172" s="220">
        <f>IF(ProjPersonal="Just Business Income and Expenses",0,ACFPIncPersREETotLoan)</f>
        <v>0</v>
      </c>
      <c r="D172" s="295">
        <f>IF(ProjPersonal="Just Business Income and Expenses",0,MCFPIncPersREETotLoan)</f>
        <v>0</v>
      </c>
    </row>
    <row r="173" spans="2:12" x14ac:dyDescent="0.2">
      <c r="B173" s="214" t="s">
        <v>217</v>
      </c>
      <c r="C173" s="220">
        <f>IF(ProjPersonal="Just Business Income and Expenses",0,ACFPIncPersLoansTotLoan)</f>
        <v>0</v>
      </c>
      <c r="D173" s="295">
        <f>IF(ProjPersonal="Just Business Income and Expenses",0,MCFPIncPersLoansTotLoan)</f>
        <v>0</v>
      </c>
    </row>
    <row r="174" spans="2:12" x14ac:dyDescent="0.2">
      <c r="B174" s="212" t="s">
        <v>0</v>
      </c>
      <c r="C174" s="220">
        <f>IF(ProjPersonal="Just Business Income and Expenses",0,ACFPOthIncTot)</f>
        <v>0</v>
      </c>
      <c r="D174" s="295">
        <f>IF(ProjPersonal="Just Business Income and Expenses",0,MCFPOthIncTot)</f>
        <v>0</v>
      </c>
    </row>
    <row r="175" spans="2:12" x14ac:dyDescent="0.2">
      <c r="B175" s="190" t="s">
        <v>142</v>
      </c>
      <c r="C175" s="290">
        <f>SUM(C169:C174)</f>
        <v>0</v>
      </c>
      <c r="D175" s="291">
        <f>SUM(D169:D174)</f>
        <v>0</v>
      </c>
    </row>
    <row r="176" spans="2:12" ht="6.95" customHeight="1" x14ac:dyDescent="0.2">
      <c r="B176" s="204"/>
      <c r="C176" s="62"/>
      <c r="D176" s="66"/>
    </row>
    <row r="177" spans="2:5" x14ac:dyDescent="0.2">
      <c r="B177" s="67" t="s">
        <v>137</v>
      </c>
      <c r="C177" s="62"/>
      <c r="D177" s="66"/>
      <c r="E177" s="56"/>
    </row>
    <row r="178" spans="2:5" x14ac:dyDescent="0.2">
      <c r="B178" s="209" t="s">
        <v>144</v>
      </c>
      <c r="C178" s="219">
        <f>IF(ProjPersonal="Just Business Income and Expenses",0,ACFPFoodTot)</f>
        <v>0</v>
      </c>
      <c r="D178" s="294">
        <f>IF(ProjPersonal="Just Business Income and Expenses",0,MCFPFoodTot)</f>
        <v>0</v>
      </c>
    </row>
    <row r="179" spans="2:5" x14ac:dyDescent="0.2">
      <c r="B179" s="209" t="s">
        <v>145</v>
      </c>
      <c r="C179" s="220">
        <f>IF(ProjPersonal="Just Business Income and Expenses",0,ACFPMedicalTot)</f>
        <v>0</v>
      </c>
      <c r="D179" s="295">
        <f>IF(ProjPersonal="Just Business Income and Expenses",0,MCFPMedicalTot)</f>
        <v>0</v>
      </c>
      <c r="E179" s="2"/>
    </row>
    <row r="180" spans="2:5" x14ac:dyDescent="0.2">
      <c r="B180" s="209" t="s">
        <v>146</v>
      </c>
      <c r="C180" s="220">
        <f>IF(ProjPersonal="Just Business Income and Expenses",0,ACFPInsTot)</f>
        <v>0</v>
      </c>
      <c r="D180" s="295">
        <f>IF(ProjPersonal="Just Business Income and Expenses",0,MCFPInsTot)</f>
        <v>0</v>
      </c>
      <c r="E180" s="2"/>
    </row>
    <row r="181" spans="2:5" x14ac:dyDescent="0.2">
      <c r="B181" s="209" t="s">
        <v>141</v>
      </c>
      <c r="C181" s="220">
        <f>IF(ProjPersonal="Just Business Income and Expenses",0,ACFPLifeInsTot)</f>
        <v>0</v>
      </c>
      <c r="D181" s="295">
        <f>IF(ProjPersonal="Just Business Income and Expenses",0,MCFPLifeInsTot)</f>
        <v>0</v>
      </c>
    </row>
    <row r="182" spans="2:5" x14ac:dyDescent="0.2">
      <c r="B182" s="209" t="s">
        <v>155</v>
      </c>
      <c r="C182" s="220">
        <f>IF(ProjPersonal="Just Business Income and Expenses",0,ACFPDisInsTot)</f>
        <v>0</v>
      </c>
      <c r="D182" s="295">
        <f>IF(ProjPersonal="Just Business Income and Expenses",0,MCFPDisInsTot)</f>
        <v>0</v>
      </c>
      <c r="E182" s="2"/>
    </row>
    <row r="183" spans="2:5" x14ac:dyDescent="0.2">
      <c r="B183" s="209" t="s">
        <v>140</v>
      </c>
      <c r="C183" s="220">
        <f>IF(ProjPersonal="Just Business Income and Expenses",0,ACFPGiftsTot)</f>
        <v>0</v>
      </c>
      <c r="D183" s="295">
        <f>IF(ProjPersonal="Just Business Income and Expenses",0,MCFPGiftsTot)</f>
        <v>0</v>
      </c>
      <c r="E183" s="2"/>
    </row>
    <row r="184" spans="2:5" x14ac:dyDescent="0.2">
      <c r="B184" s="209" t="s">
        <v>147</v>
      </c>
      <c r="C184" s="220">
        <f>IF(ProjPersonal="Just Business Income and Expenses",0,ACFPSupTot)</f>
        <v>0</v>
      </c>
      <c r="D184" s="295">
        <f>IF(ProjPersonal="Just Business Income and Expenses",0,MCFPSupTot)</f>
        <v>0</v>
      </c>
      <c r="E184" s="2"/>
    </row>
    <row r="185" spans="2:5" x14ac:dyDescent="0.2">
      <c r="B185" s="209" t="s">
        <v>148</v>
      </c>
      <c r="C185" s="220">
        <f>IF(ProjPersonal="Just Business Income and Expenses",0,ACFPClothingTot)</f>
        <v>0</v>
      </c>
      <c r="D185" s="295">
        <f>IF(ProjPersonal="Just Business Income and Expenses",0,MCFPClothingTot)</f>
        <v>0</v>
      </c>
      <c r="E185" s="2"/>
    </row>
    <row r="186" spans="2:5" x14ac:dyDescent="0.2">
      <c r="B186" s="209" t="s">
        <v>149</v>
      </c>
      <c r="C186" s="220">
        <f>IF(ProjPersonal="Just Business Income and Expenses",0,ACFPPersCareTot)</f>
        <v>0</v>
      </c>
      <c r="D186" s="295">
        <f>IF(ProjPersonal="Just Business Income and Expenses",0,MCFPPersCareTot)</f>
        <v>0</v>
      </c>
      <c r="E186" s="2"/>
    </row>
    <row r="187" spans="2:5" x14ac:dyDescent="0.2">
      <c r="B187" s="209" t="s">
        <v>150</v>
      </c>
      <c r="C187" s="220">
        <f>IF(ProjPersonal="Just Business Income and Expenses",0,ACFPChildCareTot)</f>
        <v>0</v>
      </c>
      <c r="D187" s="295">
        <f>IF(ProjPersonal="Just Business Income and Expenses",0,MCFPChildCareTot)</f>
        <v>0</v>
      </c>
      <c r="E187" s="2"/>
    </row>
    <row r="188" spans="2:5" x14ac:dyDescent="0.2">
      <c r="B188" s="207" t="s">
        <v>2</v>
      </c>
      <c r="C188" s="220">
        <f>IF(ProjPersonal="Just Business Income and Expenses",0,ACFPChildSupTot)</f>
        <v>0</v>
      </c>
      <c r="D188" s="295">
        <f>IF(ProjPersonal="Just Business Income and Expenses",0,MCFPChildSupTot)</f>
        <v>0</v>
      </c>
      <c r="E188" s="2"/>
    </row>
    <row r="189" spans="2:5" x14ac:dyDescent="0.2">
      <c r="B189" s="209" t="s">
        <v>138</v>
      </c>
      <c r="C189" s="220">
        <f>IF(ProjPersonal="Just Business Income and Expenses",0,ACFPEducationTot)</f>
        <v>0</v>
      </c>
      <c r="D189" s="295">
        <f>IF(ProjPersonal="Just Business Income and Expenses",0,MCFPEducationTot)</f>
        <v>0</v>
      </c>
      <c r="E189" s="2"/>
    </row>
    <row r="190" spans="2:5" x14ac:dyDescent="0.2">
      <c r="B190" s="209" t="s">
        <v>151</v>
      </c>
      <c r="C190" s="220">
        <f>IF(ProjPersonal="Just Business Income and Expenses",0,ACFPRecTot)</f>
        <v>0</v>
      </c>
      <c r="D190" s="295">
        <f>IF(ProjPersonal="Just Business Income and Expenses",0,MCFPRecTot)</f>
        <v>0</v>
      </c>
      <c r="E190" s="2"/>
    </row>
    <row r="191" spans="2:5" x14ac:dyDescent="0.2">
      <c r="B191" s="209" t="s">
        <v>47</v>
      </c>
      <c r="C191" s="635">
        <f>IF(ProjPersonal="Just Business Income and Expenses",0,ACFPUtilTot)</f>
        <v>0</v>
      </c>
      <c r="D191" s="295">
        <f>IF(ProjPersonal="Just Business Income and Expenses",0,MCFPUtilTot)</f>
        <v>0</v>
      </c>
      <c r="E191" s="2"/>
    </row>
    <row r="192" spans="2:5" x14ac:dyDescent="0.2">
      <c r="B192" s="209" t="s">
        <v>152</v>
      </c>
      <c r="C192" s="220">
        <f>IF(ProjPersonal="Just Business Income and Expenses",0,ACFPVehTot)</f>
        <v>0</v>
      </c>
      <c r="D192" s="295">
        <f>IF(ProjPersonal="Just Business Income and Expenses",0,MCFPVehTot)</f>
        <v>0</v>
      </c>
      <c r="E192" s="2"/>
    </row>
    <row r="193" spans="2:5" x14ac:dyDescent="0.2">
      <c r="B193" s="215" t="s">
        <v>50</v>
      </c>
      <c r="C193" s="220">
        <f>IF(ProjPersonal="Just Business Income and Expenses",0,ACFPLoanPayTot)</f>
        <v>0</v>
      </c>
      <c r="D193" s="295">
        <f>IF(ProjPersonal="Just Business Income and Expenses",0,MCFPLoanPayTot)</f>
        <v>0</v>
      </c>
      <c r="E193" s="2"/>
    </row>
    <row r="194" spans="2:5" x14ac:dyDescent="0.2">
      <c r="B194" s="209" t="s">
        <v>203</v>
      </c>
      <c r="C194" s="220">
        <f>IF(ProjPersonal="Just Business Income and Expenses",0,ACFPMortTot)</f>
        <v>0</v>
      </c>
      <c r="D194" s="295">
        <f>IF(ProjPersonal="Just Business Income and Expenses",0,MCFPMortTot)</f>
        <v>0</v>
      </c>
      <c r="E194" s="2"/>
    </row>
    <row r="195" spans="2:5" x14ac:dyDescent="0.2">
      <c r="B195" s="209" t="s">
        <v>139</v>
      </c>
      <c r="C195" s="220">
        <f>IF(ProjPersonal="Just Business Income and Expenses",0,ACFPPropInsTot)</f>
        <v>0</v>
      </c>
      <c r="D195" s="295">
        <f>IF(ProjPersonal="Just Business Income and Expenses",0,MCFPPropInsTot)</f>
        <v>0</v>
      </c>
      <c r="E195" s="2"/>
    </row>
    <row r="196" spans="2:5" x14ac:dyDescent="0.2">
      <c r="B196" s="209" t="s">
        <v>153</v>
      </c>
      <c r="C196" s="220">
        <f>IF(ProjPersonal="Just Business Income and Expenses",0,ACFPRETaxesTot)</f>
        <v>0</v>
      </c>
      <c r="D196" s="295">
        <f>IF(ProjPersonal="Just Business Income and Expenses",0,MCFPRETaxesTot)</f>
        <v>0</v>
      </c>
      <c r="E196" s="2"/>
    </row>
    <row r="197" spans="2:5" x14ac:dyDescent="0.2">
      <c r="B197" s="209" t="s">
        <v>154</v>
      </c>
      <c r="C197" s="220">
        <f>IF(ProjPersonal="Just Business Income and Expenses",0,ACFPIncTaxTot)</f>
        <v>0</v>
      </c>
      <c r="D197" s="295">
        <f>IF(ProjPersonal="Just Business Income and Expenses",0,MCFPIncTaxTot)</f>
        <v>0</v>
      </c>
      <c r="E197" s="2"/>
    </row>
    <row r="198" spans="2:5" x14ac:dyDescent="0.2">
      <c r="B198" s="209" t="s">
        <v>204</v>
      </c>
      <c r="C198" s="220">
        <f>IF(ProjPersonal="Just Business Income and Expenses",0,aCFPIncPersREETot)</f>
        <v>0</v>
      </c>
      <c r="D198" s="295">
        <f>IF(ProjPersonal="Just Business Income and Expenses",0,MCFPIncPersREETot)</f>
        <v>0</v>
      </c>
      <c r="E198" s="2"/>
    </row>
    <row r="199" spans="2:5" x14ac:dyDescent="0.2">
      <c r="B199" s="209" t="s">
        <v>175</v>
      </c>
      <c r="C199" s="220">
        <f>IF(ProjPersonal="Just Business Income and Expenses",0,ACFPIncPersLoansTot)</f>
        <v>0</v>
      </c>
      <c r="D199" s="295">
        <f>IF(ProjPersonal="Just Business Income and Expenses",0,MCFPIncPersLoansTot)</f>
        <v>0</v>
      </c>
      <c r="E199" s="2"/>
    </row>
    <row r="200" spans="2:5" x14ac:dyDescent="0.2">
      <c r="B200" s="209" t="s">
        <v>470</v>
      </c>
      <c r="C200" s="220">
        <f>ACFPPersRetirementTot</f>
        <v>0</v>
      </c>
      <c r="D200" s="295">
        <f>MCFPPersRetirementTot</f>
        <v>0</v>
      </c>
      <c r="E200" s="2"/>
    </row>
    <row r="201" spans="2:5" x14ac:dyDescent="0.2">
      <c r="B201" s="209" t="s">
        <v>471</v>
      </c>
      <c r="C201" s="220">
        <f>ACFPPersVehPurchTot</f>
        <v>0</v>
      </c>
      <c r="D201" s="295">
        <f>MCFPPersVehPurchTot</f>
        <v>0</v>
      </c>
      <c r="E201" s="2"/>
    </row>
    <row r="202" spans="2:5" x14ac:dyDescent="0.2">
      <c r="B202" s="209" t="s">
        <v>472</v>
      </c>
      <c r="C202" s="220">
        <f>ACFPPersCapPurchTot</f>
        <v>0</v>
      </c>
      <c r="D202" s="295">
        <f>MCFPPersCapPurchTot</f>
        <v>0</v>
      </c>
      <c r="E202" s="2"/>
    </row>
    <row r="203" spans="2:5" x14ac:dyDescent="0.2">
      <c r="B203" s="207" t="s">
        <v>3</v>
      </c>
      <c r="C203" s="220">
        <f>IF(ProjPersonal="Just Business Income and Expenses",0,ACFPOthPurchTot)</f>
        <v>0</v>
      </c>
      <c r="D203" s="295">
        <f>IF(ProjPersonal="Just Business Income and Expenses",0,MCFPOthPurchTot)</f>
        <v>0</v>
      </c>
      <c r="E203" s="51"/>
    </row>
    <row r="204" spans="2:5" ht="15.75" x14ac:dyDescent="0.25">
      <c r="B204" s="207" t="s">
        <v>19</v>
      </c>
      <c r="C204" s="220">
        <f>IF(ProjPersonal="Just Business Income and Expenses",0,ACFPOthPayTot)</f>
        <v>0</v>
      </c>
      <c r="D204" s="295">
        <f>IF(ProjPersonal="Just Business Income and Expenses",0,MCFPOthPayTot)</f>
        <v>0</v>
      </c>
      <c r="E204" s="11"/>
    </row>
    <row r="205" spans="2:5" x14ac:dyDescent="0.2">
      <c r="B205" s="190" t="s">
        <v>143</v>
      </c>
      <c r="C205" s="290">
        <f>SUM(C178:C204)</f>
        <v>0</v>
      </c>
      <c r="D205" s="291">
        <f>SUM(D178:D204)</f>
        <v>0</v>
      </c>
    </row>
    <row r="206" spans="2:5" ht="6.95" customHeight="1" x14ac:dyDescent="0.2">
      <c r="B206" s="204"/>
      <c r="C206" s="149"/>
      <c r="D206" s="189"/>
    </row>
    <row r="207" spans="2:5" ht="12.95" customHeight="1" x14ac:dyDescent="0.2">
      <c r="B207" s="204"/>
      <c r="C207" s="292">
        <f>Year1</f>
        <v>2016</v>
      </c>
      <c r="D207" s="293" t="str">
        <f>Year2</f>
        <v>2017 Projected</v>
      </c>
    </row>
    <row r="208" spans="2:5" ht="16.5" thickBot="1" x14ac:dyDescent="0.3">
      <c r="B208" s="65" t="s">
        <v>49</v>
      </c>
      <c r="C208" s="298">
        <f>C98+IF(HowSell="Direct to Processor",0,'Final Income and Cash Flows'!C155)+IF(ProjPersonal="Just Business Income and Expenses",0,'Final Income and Cash Flows'!C175-'Final Income and Cash Flows'!C205)</f>
        <v>0</v>
      </c>
      <c r="D208" s="650">
        <f>D98+IF(HowSell="Direct to Processor",0,'Final Income and Cash Flows'!D155)+IF(ProjPersonal="Just Business Income and Expenses",0,'Final Income and Cash Flows'!D175-'Final Income and Cash Flows'!D205)</f>
        <v>0</v>
      </c>
    </row>
    <row r="209" spans="2:4" ht="5.0999999999999996" customHeight="1" thickTop="1" x14ac:dyDescent="0.2">
      <c r="B209" s="216"/>
      <c r="C209" s="217"/>
      <c r="D209" s="218"/>
    </row>
    <row r="212" spans="2:4" x14ac:dyDescent="0.2">
      <c r="C212" s="762">
        <f>Year1PersOutflows</f>
        <v>0</v>
      </c>
    </row>
  </sheetData>
  <sheetProtection algorithmName="SHA-512" hashValue="BBOH1zxvJM66nvTSWkovlqnhG3pd+BbEHmoxwgqT0PpVMAVq6PdhR06ypEgt6FYR/msy0HL1/ZfVe8ObYXfsuQ==" saltValue="VPxvsDcqsacV0pJaqPqUfQ==" spinCount="100000" sheet="1" objects="1" scenarios="1"/>
  <sortState ref="B33:E48">
    <sortCondition descending="1" ref="D33:D48"/>
    <sortCondition ref="C33:C48"/>
  </sortState>
  <mergeCells count="14">
    <mergeCell ref="D1:D6"/>
    <mergeCell ref="C1:C6"/>
    <mergeCell ref="B1:B6"/>
    <mergeCell ref="B10:D12"/>
    <mergeCell ref="B167:D167"/>
    <mergeCell ref="B101:D103"/>
    <mergeCell ref="B160:D162"/>
    <mergeCell ref="B105:D105"/>
    <mergeCell ref="B166:D166"/>
    <mergeCell ref="B80:D80"/>
    <mergeCell ref="B79:D79"/>
    <mergeCell ref="B78:D78"/>
    <mergeCell ref="C16:D16"/>
    <mergeCell ref="B106:D106"/>
  </mergeCells>
  <phoneticPr fontId="0" type="noConversion"/>
  <conditionalFormatting sqref="B160:D199 B203:D205 C200:D202">
    <cfRule type="expression" dxfId="10" priority="15">
      <formula>ProjPersonal="Just Business Income and Expenses"</formula>
    </cfRule>
  </conditionalFormatting>
  <conditionalFormatting sqref="D18:D19 D132:D139 D149:D153 D90:D96 D169:D174 D178:D204 D33 D37:D45 D47:D49 D119:D128 C20:D29 D108:D115 D51:D59 D63:D71">
    <cfRule type="expression" dxfId="9" priority="14">
      <formula>ProjTime="Monthly"</formula>
    </cfRule>
  </conditionalFormatting>
  <conditionalFormatting sqref="C19">
    <cfRule type="expression" dxfId="8" priority="13">
      <formula>ProjTime="Monthly"</formula>
    </cfRule>
  </conditionalFormatting>
  <conditionalFormatting sqref="C90:C96">
    <cfRule type="expression" dxfId="7" priority="12">
      <formula>ProjTime="Monthly"</formula>
    </cfRule>
  </conditionalFormatting>
  <conditionalFormatting sqref="B200:B202">
    <cfRule type="expression" dxfId="6" priority="1">
      <formula>ProjPersonal="Just Business Income and Expenses"</formula>
    </cfRule>
  </conditionalFormatting>
  <dataValidations xWindow="1136" yWindow="436" count="56">
    <dataValidation allowBlank="1" showInputMessage="1" showErrorMessage="1" prompt="Sales to processors" sqref="B18"/>
    <dataValidation type="custom" allowBlank="1" showInputMessage="1" showErrorMessage="1" errorTitle="No Personal Details" error="You told us you only wanted to enter business income &amp; expenses._x000a__x000a_To enter personal expenses, click on the blue button to change your answer." sqref="D176:D177 C176:C204 C169:C174 C167:D167 B167:B205">
      <formula1>ProjPersonal&lt;&gt;"Just Business Income and Expenses"</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C156 D130:D131 D117:D118 C106:D106 D154 C108:C115 C130:C139 C145:D145 C149:C154 C141:D141 C143:D143 D113 C117:C128 B106:B136 B138:B156">
      <formula1>HowSell&lt;&gt;"Direct to Processor"</formula1>
    </dataValidation>
    <dataValidation type="custom" errorStyle="information" allowBlank="1" error="=IF(CellEntry()=&quot;&quot;,IF(MCFPVehTot&lt;&gt;0,MCFPVehTot,0),CellEntry())" sqref="D192">
      <formula1>(1=1)</formula1>
    </dataValidation>
    <dataValidation type="custom" errorStyle="information" allowBlank="1" error="=IF(CellEntry()=&quot;&quot;,IF(MCFPMedicalTot&lt;&gt;0,MCFPMedicalTot,0),CellEntry())" sqref="D179">
      <formula1>(1=1)</formula1>
    </dataValidation>
    <dataValidation type="custom" errorStyle="information" allowBlank="1" error="=IF(CellEntry()=&quot;&quot;,IF(MCFDMFCOthTot&lt;&gt;0,MCFDMFCOthTot,0),CellEntry())" sqref="D139">
      <formula1>(1=1)</formula1>
    </dataValidation>
    <dataValidation type="custom" errorStyle="information" allowBlank="1" error="=IF(CellEntry()=&quot;&quot;,IF(MCFDMVCShippingTot&lt;&gt;0,MCFDMVCShippingTot,0),CellEntry())" sqref="D124">
      <formula1>(1=1)</formula1>
    </dataValidation>
    <dataValidation type="custom" errorStyle="information" allowBlank="1" error="=IF(CellEntry()=&quot;&quot;,IF(MCFPGiftsTot&lt;&gt;0,MCFPGiftsTot,0),CellEntry())" sqref="D183">
      <formula1>(1=1)</formula1>
    </dataValidation>
    <dataValidation type="custom" errorStyle="information" allowBlank="1" error="=IF(CellEntry()=&quot;&quot;,IF(MCFDMNewCredTot&lt;&gt;0,MCFDMNewCredTot,0),CellEntry())" sqref="D150:D151">
      <formula1>(1=1)</formula1>
    </dataValidation>
    <dataValidation type="custom" errorStyle="information" allowBlank="1" error="=IF(CellEntry()=&quot;&quot;,IF(MCFDMVCMiscTot&lt;&gt;0,MCFDMVCMiscTot,0),CellEntry())" sqref="D123">
      <formula1>(1=1)</formula1>
    </dataValidation>
    <dataValidation type="custom" errorStyle="information" allowBlank="1" error="=IF(CellEntry()=&quot;&quot;,IF(MCFPMortTot&lt;&gt;0,MCFPMortTot,0),CellEntry())" sqref="D194">
      <formula1>(1=1)</formula1>
    </dataValidation>
    <dataValidation type="custom" errorStyle="information" allowBlank="1" error="=IF(CellEntry()=&quot;&quot;,IF(MCFPLoanPayTot&lt;&gt;0,MCFPLoanPayTot,0),CellEntry())" sqref="D193">
      <formula1>(1=1)</formula1>
    </dataValidation>
    <dataValidation type="custom" errorStyle="information" allowBlank="1" error="=IF(CellEntry()=&quot;&quot;,IF(MCFDMVCInsTot&lt;&gt;0,MCFDMVCInsTot,0),CellEntry())" sqref="D120">
      <formula1>(1=1)</formula1>
    </dataValidation>
    <dataValidation type="custom" errorStyle="information" allowBlank="1" error="=IF(CellEntry()=&quot;&quot;,IF(MCFPRETaxesTot&lt;&gt;0,MCFPRETaxesTot,0),CellEntry())" sqref="D196">
      <formula1>(1=1)</formula1>
    </dataValidation>
    <dataValidation type="custom" errorStyle="information" allowBlank="1" error="=IF(CellEntry()=&quot;&quot;,IF(MCFDMVCOthTot&lt;&gt;0,MCFDMVCOthTot,0),CellEntry())" sqref="D128">
      <formula1>(1=1)</formula1>
    </dataValidation>
    <dataValidation type="custom" errorStyle="information" allowBlank="1" error="=IF(CellEntry()=&quot;&quot;,IF(MCFDMFCVehTot&lt;&gt;0,MCFDMFCVehTot,0),CellEntry())" sqref="D135">
      <formula1>(1=1)</formula1>
    </dataValidation>
    <dataValidation type="custom" errorStyle="information" allowBlank="1" error="=IF(CellEntry()=&quot;&quot;,IF(MCFPDisInsTot&lt;&gt;0,MCFPDisInsTot,0),CellEntry())" sqref="D182">
      <formula1>(1=1)</formula1>
    </dataValidation>
    <dataValidation type="custom" errorStyle="information" allowBlank="1" error="=IF(CellEntry()=&quot;&quot;,IF(MCFDMFCPromoTot&lt;&gt;0,MCFDMFCPromoTot,0),CellEntry())" sqref="D133">
      <formula1>(1=1)</formula1>
    </dataValidation>
    <dataValidation type="custom" errorStyle="information" allowBlank="1" error="=IF(CellEntry()=&quot;&quot;,IF(MCFDMVCSuppliesTot&lt;&gt;0,MCFDMVCSuppliesTot,0),CellEntry())" sqref="D122">
      <formula1>(1=1)</formula1>
    </dataValidation>
    <dataValidation type="custom" errorStyle="information" allowBlank="1" error="=IF(CellEntry()=&quot;&quot;,IF(MCFDMPrinTot&lt;&gt;0,MCFDMPrinTot,0),CellEntry())" sqref="D149">
      <formula1>(1=1)</formula1>
    </dataValidation>
    <dataValidation type="custom" errorStyle="information" allowBlank="1" error="=IF(CellEntry()=&quot;&quot;,IF(MCFPIntIncTot&lt;&gt;0,MCFPIntIncTot,0),CellEntry())" sqref="D170">
      <formula1>(1=1)</formula1>
    </dataValidation>
    <dataValidation type="custom" errorStyle="information" allowBlank="1" error="=IF(CellEntry()=&quot;&quot;,IF(MCFPUtilTot&lt;&gt;0,MCFPUtilTot,0),CellEntry())" sqref="D191">
      <formula1>(1=1)</formula1>
    </dataValidation>
    <dataValidation type="custom" errorStyle="information" allowBlank="1" error="=IF(CellEntry()=&quot;&quot;,IF(MCFDMEtcTot&lt;&gt;0,MCFDMEtcTot,0),CellEntry())" sqref="D112">
      <formula1>(1=1)</formula1>
    </dataValidation>
    <dataValidation type="custom" errorStyle="information" allowBlank="1" error="=IF(CellEntry()=&quot;&quot;,IF(MCFPSupTot&lt;&gt;0,MCFPSupTot,0),CellEntry())" sqref="D184">
      <formula1>(1=1)</formula1>
    </dataValidation>
    <dataValidation type="custom" errorStyle="information" allowBlank="1" error="=IF(CellEntry()=&quot;&quot;,IF(MCFDMVCPurchFinTot&lt;&gt;0,MCFDMVCPurchFinTot,0),CellEntry())" sqref="D127">
      <formula1>(1=1)</formula1>
    </dataValidation>
    <dataValidation type="custom" errorStyle="information" allowBlank="1" error="=IF(CellEntry()=&quot;&quot;,IF(MCFDMOthTot&lt;&gt;0,MCFDMOthTot,0),CellEntry())" sqref="D115">
      <formula1>(1=1)</formula1>
    </dataValidation>
    <dataValidation type="custom" errorStyle="information" allowBlank="1" error="=IF(CellEntry()=&quot;&quot;,IF(MCFDMGainShoreTot&lt;&gt;0,MCFDMGainShoreTot,0),CellEntry())" sqref="D114">
      <formula1>(1=1)</formula1>
    </dataValidation>
    <dataValidation type="custom" errorStyle="information" allowBlank="1" error="=IF(CellEntry()=&quot;&quot;,IF(MCFPOthPurchTot&lt;&gt;0,MCFPOthPurchTot,0),CellEntry())" sqref="D203">
      <formula1>(1=1)</formula1>
    </dataValidation>
    <dataValidation type="custom" errorStyle="information" allowBlank="1" error="=IF(CellEntry()=&quot;&quot;,IF(MCFPIncTaxTot&lt;&gt;0,MCFPIncTaxTot,0),CellEntry())" sqref="D197:D202">
      <formula1>(1=1)</formula1>
    </dataValidation>
    <dataValidation type="custom" errorStyle="information" allowBlank="1" error="=IF(CellEntry()=&quot;&quot;,IF(MCFDMVCUtilTot&lt;&gt;0,MCFDMVCUtilTot,0),CellEntry())" sqref="D125">
      <formula1>(1=1)</formula1>
    </dataValidation>
    <dataValidation type="custom" errorStyle="information" allowBlank="1" error="=IF(CellEntry()=&quot;&quot;,IF(MCFDMEquipSaleTot&lt;&gt;0,MCFDMEquipSaleTot,0),CellEntry())" sqref="D153">
      <formula1>(1=1)</formula1>
    </dataValidation>
    <dataValidation type="custom" errorStyle="information" allowBlank="1" error="=IF(CellEntry()=&quot;&quot;,IF(MCFPFoodTot&lt;&gt;0,MCFPFoodTot,0),CellEntry())" sqref="D178">
      <formula1>(1=1)</formula1>
    </dataValidation>
    <dataValidation type="custom" errorStyle="information" allowBlank="1" error="=IF(CellEntry()=&quot;&quot;,IF(MCFPEducationTot&lt;&gt;0,MCFPEducationTot,0),CellEntry())" sqref="D189">
      <formula1>(1=1)</formula1>
    </dataValidation>
    <dataValidation type="custom" errorStyle="information" allowBlank="1" error="=IF(CellEntry()=&quot;&quot;,IF(MCFDMFCMiscTot&lt;&gt;0,MCFDMFCMiscTot,0),CellEntry())" sqref="D138">
      <formula1>(1=1)</formula1>
    </dataValidation>
    <dataValidation type="custom" errorStyle="information" allowBlank="1" error="=IF(CellEntry()=&quot;&quot;,IF(MCFPOthPayTot&lt;&gt;0,MCFPOthPayTot,0),CellEntry())" sqref="D204">
      <formula1>(1=1)</formula1>
    </dataValidation>
    <dataValidation type="custom" errorStyle="information" allowBlank="1" error="=IF(CellEntry()=&quot;&quot;,IF(MCFDMFCRentTot&lt;&gt;0,MCFDMFCRentTot,0),CellEntry())" sqref="D132">
      <formula1>(1=1)</formula1>
    </dataValidation>
    <dataValidation type="custom" errorStyle="information" allowBlank="1" error="=IF(CellEntry()=&quot;&quot;,IF(MCFDMVCPackTot&lt;&gt;0,MCFDMVCPackTot,0),CellEntry())" sqref="D121">
      <formula1>(1=1)</formula1>
    </dataValidation>
    <dataValidation type="custom" errorStyle="information" allowBlank="1" error="=IF(CellEntry()=&quot;&quot;,IF(MCFPPropInsTot&lt;&gt;0,MCFPPropInsTot,0),CellEntry())" sqref="D195">
      <formula1>(1=1)</formula1>
    </dataValidation>
    <dataValidation type="custom" errorStyle="information" allowBlank="1" error="=IF(CellEntry()=&quot;&quot;,IF(MCFPRecTot&lt;&gt;0,MCFPRecTot,0),CellEntry())" sqref="D190">
      <formula1>(1=1)</formula1>
    </dataValidation>
    <dataValidation type="custom" errorStyle="information" allowBlank="1" error="=IF(CellEntry()=&quot;&quot;,IF(MCFPChildSupTot&lt;&gt;0,MCFPChildSupTot,0),CellEntry())" sqref="D188">
      <formula1>(1=1)</formula1>
    </dataValidation>
    <dataValidation type="custom" errorStyle="information" allowBlank="1" error="=IF(CellEntry()=&quot;&quot;,IF(MCFDMFCPermitTot&lt;&gt;0,MCFDMFCPermitTot,0),CellEntry())" sqref="D134">
      <formula1>(1=1)</formula1>
    </dataValidation>
    <dataValidation type="custom" errorStyle="information" allowBlank="1" error="=IF(CellEntry()=&quot;&quot;,IF(MCFDMSalesTot&lt;&gt;0,MCFDMSalesTot,0),CellEntry())" sqref="D108:D111">
      <formula1>(1=1)</formula1>
    </dataValidation>
    <dataValidation type="custom" errorStyle="information" allowBlank="1" error="=IF(CellEntry()=&quot;&quot;,IF(MCFPOthIncTot&lt;&gt;0,MCFPOthIncTot,0),CellEntry())" sqref="D174">
      <formula1>(1=1)</formula1>
    </dataValidation>
    <dataValidation type="custom" errorStyle="information" allowBlank="1" error="=IF(CellEntry()=&quot;&quot;,IF(MCFDMCapPurchTot&lt;&gt;0,MCFDMCapPurchTot,0),CellEntry())" sqref="D152">
      <formula1>(1=1)</formula1>
    </dataValidation>
    <dataValidation type="custom" errorStyle="information" allowBlank="1" error="=IF(CellEntry()=&quot;&quot;,IF(MCFDMFCDeprTot&lt;&gt;0,MCFDMFCDeprTot,0),CellEntry())" sqref="D136:D137">
      <formula1>(1=1)</formula1>
    </dataValidation>
    <dataValidation type="custom" errorStyle="information" allowBlank="1" error="=IF(CellEntry()=&quot;&quot;,IF(MCFPLifeInsTot&lt;&gt;0,MCFPLifeInsTot,0),CellEntry())" sqref="D181">
      <formula1>(1=1)</formula1>
    </dataValidation>
    <dataValidation type="custom" errorStyle="information" allowBlank="1" error="=IF(CellEntry()=&quot;&quot;,IF(MCFPChildCareTot&lt;&gt;0,MCFPChildCareTot,0),CellEntry())" sqref="D187">
      <formula1>(1=1)</formula1>
    </dataValidation>
    <dataValidation type="custom" errorStyle="information" allowBlank="1" error="=IF(CellEntry()=&quot;&quot;,IF(MCFDMVCLaborTot&lt;&gt;0,MCFDMVCLaborTot,0),CellEntry())" sqref="D119">
      <formula1>(1=1)</formula1>
    </dataValidation>
    <dataValidation type="custom" errorStyle="information" allowBlank="1" error="=IF(CellEntry()=&quot;&quot;,IF(MCFPInvestTot&lt;&gt;0,MCFPInvestTot,0),CellEntry())" sqref="D171:D173">
      <formula1>(1=1)</formula1>
    </dataValidation>
    <dataValidation type="custom" errorStyle="information" allowBlank="1" error="=IF(CellEntry()=&quot;&quot;,IF(MCFPClothingTot&lt;&gt;0,MCFPClothingTot,0),CellEntry())" sqref="D185">
      <formula1>(1=1)</formula1>
    </dataValidation>
    <dataValidation type="custom" errorStyle="information" allowBlank="1" error="=IF(CellEntry()=&quot;&quot;,IF(MCFDMVCColdTot&lt;&gt;0,MCFDMVCColdTot,0),CellEntry())" sqref="D126">
      <formula1>(1=1)</formula1>
    </dataValidation>
    <dataValidation type="custom" errorStyle="information" allowBlank="1" error="=IF(CellEntry()=&quot;&quot;,IF(MCFPWagesTot&lt;&gt;0,MCFPWagesTot,0),CellEntry())" sqref="D169">
      <formula1>(1=1)</formula1>
    </dataValidation>
    <dataValidation type="custom" errorStyle="information" allowBlank="1" error="=IF(CellEntry()=&quot;&quot;,IF(MCFPInsTot&lt;&gt;0,MCFPInsTot,0),CellEntry())" sqref="D180">
      <formula1>(1=1)</formula1>
    </dataValidation>
    <dataValidation type="custom" errorStyle="information" allowBlank="1" error="=IF(CellEntry()=&quot;&quot;,IF(MCFPPersCareTot&lt;&gt;0,MCFPPersCareTot,0),CellEntry())" sqref="D186">
      <formula1>(1=1)</formula1>
    </dataValidation>
    <dataValidation type="custom" allowBlank="1" showInputMessage="1" showErrorMessage="1" error="You told us that you only sold directly to processors.  Click the blue button next to &quot;Direct Marketing Income &amp; Costs&quot; to go back to make this change if you need this section." sqref="B137">
      <formula1>HowSell&lt;&gt;"Direct to Processor"</formula1>
    </dataValidation>
    <dataValidation type="custom" allowBlank="1" showInputMessage="1" showErrorMessage="1" errorTitle="You only sell to processor" error="In general information, you marked that you only sell your product directly to processors.  To change this, click the blue button next to &quot;Direct Marketing Income and Costs&quot;" sqref="C81:D98 C18:D77">
      <formula1>HowSell&lt;&gt;"Direct to Consumer"</formula1>
    </dataValidation>
  </dataValidations>
  <printOptions horizontalCentered="1" verticalCentered="1"/>
  <pageMargins left="0.75" right="0.75" top="0.6" bottom="0.6" header="0.5" footer="0.5"/>
  <pageSetup pageOrder="overThenDown" orientation="portrait" horizontalDpi="300" verticalDpi="300" r:id="rId1"/>
  <headerFooter alignWithMargins="0">
    <oddFooter>&amp;LAgPlan Income Statement &amp; Cash Flow Summary&amp;RAgPlan.com</oddFooter>
  </headerFooter>
  <rowBreaks count="3" manualBreakCount="3">
    <brk id="77" min="1" max="3" man="1"/>
    <brk id="99" max="16383" man="1"/>
    <brk id="158" min="1"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locked="0" defaultSize="0" autoLine="0" autoPict="0">
                <anchor moveWithCells="1">
                  <from>
                    <xdr:col>3</xdr:col>
                    <xdr:colOff>295275</xdr:colOff>
                    <xdr:row>6</xdr:row>
                    <xdr:rowOff>19050</xdr:rowOff>
                  </from>
                  <to>
                    <xdr:col>4</xdr:col>
                    <xdr:colOff>257175</xdr:colOff>
                    <xdr:row>8</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507B2C4C-E5BD-460A-A048-F084AE406EEC}">
            <xm:f>'Gen Info'!$K$17="Direct to Processor"</xm:f>
            <x14:dxf>
              <font>
                <color theme="0" tint="-0.499984740745262"/>
              </font>
              <fill>
                <patternFill>
                  <bgColor theme="0" tint="-0.34998626667073579"/>
                </patternFill>
              </fill>
            </x14:dxf>
          </x14:cfRule>
          <xm:sqref>C137:D137 B152:D155 C151:D151 B138:D150 B101:D136</xm:sqref>
        </x14:conditionalFormatting>
        <x14:conditionalFormatting xmlns:xm="http://schemas.microsoft.com/office/excel/2006/main">
          <x14:cfRule type="expression" priority="11" id="{58D04919-0DFA-4A36-8947-C1EE3430FABA}">
            <xm:f>'Gen Info'!$K$17="Direct to Processor"</xm:f>
            <x14:dxf>
              <font>
                <color theme="0" tint="-0.499984740745262"/>
              </font>
              <fill>
                <patternFill>
                  <bgColor theme="0" tint="-0.34998626667073579"/>
                </patternFill>
              </fill>
            </x14:dxf>
          </x14:cfRule>
          <xm:sqref>B137</xm:sqref>
        </x14:conditionalFormatting>
        <x14:conditionalFormatting xmlns:xm="http://schemas.microsoft.com/office/excel/2006/main">
          <x14:cfRule type="expression" priority="10" id="{E1C2FC9A-E4E4-4E94-BCB6-EA596BF907AE}">
            <xm:f>'Gen Info'!$K$17="Direct to Processor"</xm:f>
            <x14:dxf>
              <font>
                <color theme="0" tint="-0.499984740745262"/>
              </font>
              <fill>
                <patternFill>
                  <bgColor theme="0" tint="-0.34998626667073579"/>
                </patternFill>
              </fill>
            </x14:dxf>
          </x14:cfRule>
          <xm:sqref>B137</xm:sqref>
        </x14:conditionalFormatting>
        <x14:conditionalFormatting xmlns:xm="http://schemas.microsoft.com/office/excel/2006/main">
          <x14:cfRule type="expression" priority="7" id="{DE7FC66B-FB1F-4423-ADCA-FE54F014D8C4}">
            <xm:f>'Gen Info'!$K$17="Direct to Processor"</xm:f>
            <x14:dxf>
              <font>
                <color theme="0" tint="-0.499984740745262"/>
              </font>
              <fill>
                <patternFill>
                  <bgColor theme="0" tint="-0.34998626667073579"/>
                </patternFill>
              </fill>
            </x14:dxf>
          </x14:cfRule>
          <xm:sqref>B151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64A2"/>
  </sheetPr>
  <dimension ref="A1:T42"/>
  <sheetViews>
    <sheetView showGridLines="0" zoomScaleNormal="100" workbookViewId="0">
      <selection activeCell="D13" sqref="D13"/>
    </sheetView>
  </sheetViews>
  <sheetFormatPr defaultRowHeight="12.75" x14ac:dyDescent="0.2"/>
  <cols>
    <col min="1" max="1" width="0.85546875" customWidth="1"/>
    <col min="2" max="2" width="2.140625" customWidth="1"/>
    <col min="3" max="3" width="22.28515625" customWidth="1"/>
    <col min="4" max="5" width="10" customWidth="1"/>
    <col min="6" max="7" width="10.5703125" customWidth="1"/>
    <col min="8" max="8" width="12" bestFit="1" customWidth="1"/>
    <col min="10" max="10" width="9.28515625" style="722" bestFit="1" customWidth="1"/>
    <col min="11" max="11" width="9.28515625" bestFit="1" customWidth="1"/>
    <col min="12" max="12" width="9.140625" style="703" bestFit="1"/>
    <col min="13" max="13" width="7.5703125" style="703" customWidth="1"/>
    <col min="14" max="14" width="5.85546875" style="703" customWidth="1"/>
    <col min="15" max="15" width="9.5703125" style="703" bestFit="1" customWidth="1"/>
    <col min="16" max="16" width="9.140625" style="703"/>
    <col min="17" max="17" width="9.28515625" style="703" bestFit="1" customWidth="1"/>
  </cols>
  <sheetData>
    <row r="1" spans="1:20" ht="3.95" customHeight="1" x14ac:dyDescent="0.2">
      <c r="J1" s="703"/>
      <c r="K1" s="703"/>
    </row>
    <row r="2" spans="1:20" ht="23.25" x14ac:dyDescent="0.35">
      <c r="A2" s="1101" t="s">
        <v>341</v>
      </c>
      <c r="B2" s="1101"/>
      <c r="C2" s="1101"/>
      <c r="D2" s="1101"/>
      <c r="E2" s="1101"/>
      <c r="F2" s="1101"/>
      <c r="G2" s="1101"/>
      <c r="H2" s="1101"/>
      <c r="I2" s="1101"/>
      <c r="J2" s="723"/>
      <c r="K2" s="723"/>
      <c r="M2" s="658">
        <v>1</v>
      </c>
      <c r="N2" s="659">
        <f>INDEX(ScorecardGraphs,M2)</f>
        <v>2016</v>
      </c>
    </row>
    <row r="3" spans="1:20" x14ac:dyDescent="0.2">
      <c r="A3" s="1102" t="s">
        <v>342</v>
      </c>
      <c r="B3" s="1102"/>
      <c r="C3" s="1102"/>
      <c r="D3" s="1102"/>
      <c r="E3" s="1102"/>
      <c r="F3" s="1102"/>
      <c r="G3" s="1102"/>
      <c r="H3" s="1102"/>
      <c r="I3" s="1102"/>
      <c r="J3" s="724"/>
      <c r="K3" s="724"/>
    </row>
    <row r="4" spans="1:20" x14ac:dyDescent="0.2">
      <c r="A4" s="693"/>
      <c r="B4" s="693"/>
      <c r="C4" s="693"/>
      <c r="D4" s="693"/>
      <c r="E4" s="693"/>
      <c r="F4" s="693"/>
      <c r="G4" s="693"/>
      <c r="H4" s="693"/>
      <c r="I4" s="693"/>
      <c r="J4" s="724"/>
      <c r="K4" s="724"/>
    </row>
    <row r="5" spans="1:20" x14ac:dyDescent="0.2">
      <c r="A5" s="693"/>
      <c r="B5" s="693"/>
      <c r="C5" s="693"/>
      <c r="D5" s="693"/>
      <c r="E5" s="693"/>
      <c r="F5" s="693"/>
      <c r="G5" s="693"/>
      <c r="H5" s="693"/>
      <c r="I5" s="693"/>
      <c r="J5" s="724"/>
      <c r="K5" s="724"/>
    </row>
    <row r="6" spans="1:20" ht="21" customHeight="1" x14ac:dyDescent="0.2">
      <c r="A6" s="693"/>
      <c r="B6" s="693"/>
      <c r="C6" s="693"/>
      <c r="D6" s="693"/>
      <c r="E6" s="693"/>
      <c r="F6" s="693"/>
      <c r="G6" s="693"/>
      <c r="H6" s="693"/>
      <c r="I6" s="693"/>
      <c r="J6" s="724"/>
      <c r="K6" s="724"/>
    </row>
    <row r="7" spans="1:20" x14ac:dyDescent="0.2">
      <c r="J7" s="703"/>
      <c r="K7" s="703"/>
    </row>
    <row r="8" spans="1:20" ht="26.45" customHeight="1" x14ac:dyDescent="0.2">
      <c r="F8" s="601" t="s">
        <v>357</v>
      </c>
      <c r="J8" s="703"/>
      <c r="K8" s="703"/>
    </row>
    <row r="9" spans="1:20" ht="6.75" customHeight="1" x14ac:dyDescent="0.2">
      <c r="J9" s="703"/>
      <c r="K9" s="703"/>
    </row>
    <row r="10" spans="1:20" ht="26.45" customHeight="1" x14ac:dyDescent="0.2">
      <c r="E10" s="601" t="s">
        <v>272</v>
      </c>
      <c r="J10" s="703"/>
      <c r="K10" s="703"/>
    </row>
    <row r="11" spans="1:20" x14ac:dyDescent="0.2">
      <c r="D11" s="1103">
        <f>Year1</f>
        <v>2016</v>
      </c>
      <c r="E11" s="1099" t="str">
        <f>Year2</f>
        <v>2017 Projected</v>
      </c>
      <c r="J11" s="703"/>
      <c r="K11" s="703"/>
    </row>
    <row r="12" spans="1:20" x14ac:dyDescent="0.2">
      <c r="B12" s="602" t="s">
        <v>343</v>
      </c>
      <c r="D12" s="1104"/>
      <c r="E12" s="1100"/>
      <c r="F12" s="659" t="s">
        <v>346</v>
      </c>
      <c r="G12" s="659" t="s">
        <v>356</v>
      </c>
      <c r="H12" s="659" t="s">
        <v>351</v>
      </c>
      <c r="I12" s="659" t="s">
        <v>352</v>
      </c>
      <c r="J12" s="659" t="s">
        <v>353</v>
      </c>
      <c r="K12" s="659" t="s">
        <v>354</v>
      </c>
      <c r="L12" s="659" t="s">
        <v>355</v>
      </c>
      <c r="M12" s="659"/>
      <c r="N12" s="659"/>
      <c r="O12" s="659"/>
      <c r="P12" s="659"/>
      <c r="Q12" s="659" t="s">
        <v>347</v>
      </c>
      <c r="R12" s="659" t="s">
        <v>348</v>
      </c>
      <c r="S12" s="659" t="s">
        <v>349</v>
      </c>
      <c r="T12" s="659" t="s">
        <v>350</v>
      </c>
    </row>
    <row r="13" spans="1:20" s="92" customFormat="1" ht="24.95" customHeight="1" x14ac:dyDescent="0.2">
      <c r="C13" s="92" t="s">
        <v>79</v>
      </c>
      <c r="D13" s="686">
        <f>RatioCurrentRatioCalc</f>
        <v>0</v>
      </c>
      <c r="E13" s="686">
        <f>IF(ISERROR(Year2BusAssetsCurrentProj/Year2BusLiabCurrentProj)=FALSE,Year2BusAssetsCurrentProj/Year2BusLiabCurrentProj,0)</f>
        <v>0</v>
      </c>
      <c r="F13" s="694">
        <f>IF(ScorecardGraphsChoice=Year1,D13,E13)</f>
        <v>0</v>
      </c>
      <c r="G13" s="694" t="str">
        <f>CONCATENATE(ROUND(IF(ScorecardGraphsChoice=Year1,D13,E13),2),":1")</f>
        <v>0:1</v>
      </c>
      <c r="H13" s="651">
        <v>0</v>
      </c>
      <c r="I13" s="651">
        <v>1.3</v>
      </c>
      <c r="J13" s="651">
        <f>AVERAGE(I13,K13)</f>
        <v>1.65</v>
      </c>
      <c r="K13" s="651">
        <v>2</v>
      </c>
      <c r="L13" s="651">
        <v>2.1</v>
      </c>
      <c r="M13" s="651"/>
      <c r="N13" s="651"/>
      <c r="O13" s="694">
        <f>F13</f>
        <v>0</v>
      </c>
      <c r="P13" s="651" t="str">
        <f>C13</f>
        <v>Current Ratio</v>
      </c>
      <c r="Q13" s="651">
        <f>IF(F13&gt;L13,R13+0.7,(R13-0)*(F13/L13))-0.7</f>
        <v>-0.7</v>
      </c>
      <c r="R13" s="651">
        <v>2.7</v>
      </c>
      <c r="S13" s="651">
        <f>IF(Q13&gt;0,(Q13-(T13/2)),0)</f>
        <v>0</v>
      </c>
      <c r="T13" s="651">
        <v>0.08</v>
      </c>
    </row>
    <row r="14" spans="1:20" s="92" customFormat="1" ht="24.95" customHeight="1" x14ac:dyDescent="0.2">
      <c r="C14" s="92" t="s">
        <v>373</v>
      </c>
      <c r="D14" s="687">
        <f>RatioWorkingCapCalc</f>
        <v>0</v>
      </c>
      <c r="E14" s="687">
        <f>Year2BusAssetsCurrentProj-Year2BusLiabCurrentProj</f>
        <v>0</v>
      </c>
      <c r="F14" s="694">
        <f>IF(ScorecardGraphsChoice=Year1,D14,E14)</f>
        <v>0</v>
      </c>
      <c r="G14" s="694"/>
      <c r="H14" s="651"/>
      <c r="I14" s="651"/>
      <c r="J14" s="651"/>
      <c r="K14" s="651"/>
      <c r="L14" s="651">
        <v>3.3</v>
      </c>
      <c r="M14" s="651"/>
      <c r="N14" s="651"/>
      <c r="O14" s="694">
        <f t="shared" ref="O14:O36" si="0">F14</f>
        <v>0</v>
      </c>
      <c r="P14" s="651" t="str">
        <f>C14</f>
        <v>Working Capital (WC)</v>
      </c>
      <c r="Q14" s="651">
        <f>IF(F14&gt;L14,8.836364,R14*(F14/L14))</f>
        <v>0</v>
      </c>
      <c r="R14" s="651">
        <v>10</v>
      </c>
      <c r="S14" s="651">
        <f>IF(Q14&gt;0,(Q14-(T14/2)),0)</f>
        <v>0</v>
      </c>
      <c r="T14" s="651">
        <v>0.3</v>
      </c>
    </row>
    <row r="15" spans="1:20" s="92" customFormat="1" ht="24.95" customHeight="1" x14ac:dyDescent="0.2">
      <c r="C15" s="92" t="s">
        <v>374</v>
      </c>
      <c r="D15" s="688">
        <f>IF(ISERROR(D14/(IF(HowSell="Direct to Processor",'Final Income and Cash Flows'!C30,'Final Income and Cash Flows'!C116+'Final Income and Cash Flows'!C30)))=FALSE,(D14/(IF(HowSell="Direct to Processor",'Final Income and Cash Flows'!C30,'Final Income and Cash Flows'!C116+'Final Income and Cash Flows'!C30))),0)</f>
        <v>0</v>
      </c>
      <c r="E15" s="688">
        <f>IF(ISERROR(E14/(IF(HowSell="Direct to Processor",'Final Income and Cash Flows'!D30,'Final Income and Cash Flows'!D116+'Final Income and Cash Flows'!D30)))=FALSE,(E14/(IF(HowSell="Direct to Processor",'Final Income and Cash Flows'!D30,'Final Income and Cash Flows'!D116+'Final Income and Cash Flows'!D30))),0)</f>
        <v>0</v>
      </c>
      <c r="F15" s="695">
        <f>IF(ScorecardGraphsChoice=Year1,D15,E15)</f>
        <v>0</v>
      </c>
      <c r="G15" s="695">
        <f>F15</f>
        <v>0</v>
      </c>
      <c r="H15" s="651">
        <v>0</v>
      </c>
      <c r="I15" s="696">
        <v>0.1</v>
      </c>
      <c r="J15" s="695">
        <f>AVERAGE(I15,K15)</f>
        <v>0.2</v>
      </c>
      <c r="K15" s="696">
        <v>0.3</v>
      </c>
      <c r="L15" s="696">
        <v>0.45</v>
      </c>
      <c r="M15" s="651"/>
      <c r="N15" s="651"/>
      <c r="O15" s="694">
        <f t="shared" si="0"/>
        <v>0</v>
      </c>
      <c r="P15" s="651" t="str">
        <f>C15</f>
        <v>WC to Gross Revenue</v>
      </c>
      <c r="Q15" s="651">
        <f>IF(F15&gt;=L15,R15,R15*(F15/L15))</f>
        <v>0</v>
      </c>
      <c r="R15" s="651">
        <v>9</v>
      </c>
      <c r="S15" s="651">
        <f>IF(Q15&gt;0,(Q15-(T15/2)),0)</f>
        <v>0</v>
      </c>
      <c r="T15" s="651">
        <v>0.27</v>
      </c>
    </row>
    <row r="16" spans="1:20" x14ac:dyDescent="0.2">
      <c r="F16" s="659"/>
      <c r="G16" s="659"/>
      <c r="H16" s="659"/>
      <c r="I16" s="659"/>
      <c r="J16" s="659"/>
      <c r="K16" s="659"/>
      <c r="L16" s="659"/>
      <c r="M16" s="659"/>
      <c r="N16" s="659"/>
      <c r="O16" s="694">
        <f t="shared" si="0"/>
        <v>0</v>
      </c>
      <c r="P16" s="659"/>
      <c r="Q16" s="659"/>
      <c r="R16" s="659"/>
      <c r="S16" s="659"/>
      <c r="T16" s="659"/>
    </row>
    <row r="17" spans="2:20" x14ac:dyDescent="0.2">
      <c r="B17" s="602" t="s">
        <v>358</v>
      </c>
      <c r="F17" s="659" t="s">
        <v>346</v>
      </c>
      <c r="G17" s="659" t="s">
        <v>356</v>
      </c>
      <c r="H17" s="659" t="s">
        <v>351</v>
      </c>
      <c r="I17" s="659" t="s">
        <v>352</v>
      </c>
      <c r="J17" s="659" t="s">
        <v>353</v>
      </c>
      <c r="K17" s="659" t="s">
        <v>354</v>
      </c>
      <c r="L17" s="659" t="s">
        <v>355</v>
      </c>
      <c r="M17" s="659"/>
      <c r="N17" s="659"/>
      <c r="O17" s="694" t="str">
        <f t="shared" si="0"/>
        <v>toGraph</v>
      </c>
      <c r="P17" s="659"/>
      <c r="Q17" s="659" t="s">
        <v>347</v>
      </c>
      <c r="R17" s="659" t="s">
        <v>348</v>
      </c>
      <c r="S17" s="659" t="s">
        <v>349</v>
      </c>
      <c r="T17" s="659" t="s">
        <v>350</v>
      </c>
    </row>
    <row r="18" spans="2:20" s="92" customFormat="1" ht="24.95" customHeight="1" x14ac:dyDescent="0.2">
      <c r="C18" s="689" t="s">
        <v>359</v>
      </c>
      <c r="D18" s="688">
        <f>RatioDtoACalc</f>
        <v>0</v>
      </c>
      <c r="E18" s="688">
        <f>IF(ISERROR(Year2BusLiabProj/Year2BusAssetsProj)=FALSE,(Year2BusLiabProj/Year2BusAssetsProj),0)</f>
        <v>0</v>
      </c>
      <c r="F18" s="695">
        <f>IF(ScorecardGraphsChoice=Year1,D18,E18)*(J18*2)</f>
        <v>0</v>
      </c>
      <c r="G18" s="695">
        <f>IF(ScorecardGraphsChoice=Year1,D18,E18)</f>
        <v>0</v>
      </c>
      <c r="H18" s="695">
        <f t="shared" ref="H18" si="1">I18-((J18-I18))</f>
        <v>0.75</v>
      </c>
      <c r="I18" s="695">
        <v>0.6</v>
      </c>
      <c r="J18" s="695">
        <f>AVERAGE(I18,K18)</f>
        <v>0.44999999999999996</v>
      </c>
      <c r="K18" s="695">
        <v>0.3</v>
      </c>
      <c r="L18" s="695">
        <f t="shared" ref="L18" si="2">K18+(K18-J18)</f>
        <v>0.15000000000000002</v>
      </c>
      <c r="M18" s="651"/>
      <c r="N18" s="651"/>
      <c r="O18" s="694">
        <f t="shared" si="0"/>
        <v>0</v>
      </c>
      <c r="P18" s="651" t="str">
        <f>C18</f>
        <v>Debt-to-Asset</v>
      </c>
      <c r="Q18" s="651">
        <f>IF(F18&lt;=L18,R18,(R18/(J18*2))*(L18/F18))/(J18*2.5)</f>
        <v>8.8888888888888893</v>
      </c>
      <c r="R18" s="651">
        <v>10</v>
      </c>
      <c r="S18" s="651">
        <f t="shared" ref="S18:S19" si="3">IF(Q18&gt;0,(Q18-(T18/2)),0)</f>
        <v>8.7538888888888895</v>
      </c>
      <c r="T18" s="651">
        <v>0.27</v>
      </c>
    </row>
    <row r="19" spans="2:20" s="92" customFormat="1" ht="24.95" customHeight="1" x14ac:dyDescent="0.2">
      <c r="C19" s="689" t="s">
        <v>360</v>
      </c>
      <c r="D19" s="688">
        <f>1-D18</f>
        <v>1</v>
      </c>
      <c r="E19" s="688">
        <f>1-E18</f>
        <v>1</v>
      </c>
      <c r="F19" s="695">
        <f>IF(ScorecardGraphsChoice=Year1,D19,E19)/(J19*2)</f>
        <v>0.90909090909090906</v>
      </c>
      <c r="G19" s="695">
        <f>IF(ScorecardGraphsChoice=Year1,D19,E19)</f>
        <v>1</v>
      </c>
      <c r="H19" s="695">
        <f t="shared" ref="H19" si="4">I19-((J19-I19))</f>
        <v>0.25</v>
      </c>
      <c r="I19" s="695">
        <v>0.4</v>
      </c>
      <c r="J19" s="695">
        <f t="shared" ref="J19:J36" si="5">AVERAGE(I19,K19)</f>
        <v>0.55000000000000004</v>
      </c>
      <c r="K19" s="695">
        <v>0.7</v>
      </c>
      <c r="L19" s="695">
        <f t="shared" ref="L19:L20" si="6">K19+(K19-J19)</f>
        <v>0.84999999999999987</v>
      </c>
      <c r="M19" s="651"/>
      <c r="N19" s="651"/>
      <c r="O19" s="694">
        <f t="shared" si="0"/>
        <v>0.90909090909090906</v>
      </c>
      <c r="P19" s="651" t="str">
        <f t="shared" ref="P19:P36" si="7">C19</f>
        <v>Equity-to-Asset</v>
      </c>
      <c r="Q19" s="651">
        <f>IF(F19&gt;=L19,R19,(R19/(J19*2))*(F19/L19))/(J19*2)</f>
        <v>9.0909090909090899</v>
      </c>
      <c r="R19" s="651">
        <v>10</v>
      </c>
      <c r="S19" s="651">
        <f t="shared" si="3"/>
        <v>8.9559090909090902</v>
      </c>
      <c r="T19" s="651">
        <v>0.27</v>
      </c>
    </row>
    <row r="20" spans="2:20" s="92" customFormat="1" ht="24.95" customHeight="1" x14ac:dyDescent="0.2">
      <c r="C20" s="689" t="s">
        <v>82</v>
      </c>
      <c r="D20" s="690">
        <f>RatioDtoECalc</f>
        <v>0</v>
      </c>
      <c r="E20" s="690">
        <f>IF(ISERROR(Year2BusLiabProj/Year2NetWorthProj)=FALSE,(Year2BusLiabProj/Year2NetWorthProj),0)</f>
        <v>0</v>
      </c>
      <c r="F20" s="694">
        <f>IF(ScorecardGraphsChoice=Year1,D20,E20)*(J20*2)</f>
        <v>0</v>
      </c>
      <c r="G20" s="694" t="str">
        <f>CONCATENATE(ROUND(IF(ScorecardGraphsChoice=Year1,D20,E20),2),":1")</f>
        <v>0:1</v>
      </c>
      <c r="H20" s="651">
        <v>2.2000000000000002</v>
      </c>
      <c r="I20" s="651">
        <v>1.5</v>
      </c>
      <c r="J20" s="651">
        <f t="shared" si="5"/>
        <v>0.96499999999999997</v>
      </c>
      <c r="K20" s="651">
        <v>0.43</v>
      </c>
      <c r="L20" s="651">
        <f t="shared" si="6"/>
        <v>-0.10499999999999993</v>
      </c>
      <c r="M20" s="651"/>
      <c r="N20" s="651"/>
      <c r="O20" s="694">
        <f t="shared" si="0"/>
        <v>0</v>
      </c>
      <c r="P20" s="651" t="str">
        <f t="shared" si="7"/>
        <v>Debt-to-Equity</v>
      </c>
      <c r="Q20" s="651">
        <f>IF(F20&gt;=L20,R20,(R20/(J20*2))*(F20/L20))*(J20/1)</f>
        <v>9.65</v>
      </c>
      <c r="R20" s="651">
        <v>10</v>
      </c>
      <c r="S20" s="651">
        <f>ABS(IF(Q20&gt;0,(Q20-(T20/2)),0))</f>
        <v>9.5150000000000006</v>
      </c>
      <c r="T20" s="651">
        <v>0.27</v>
      </c>
    </row>
    <row r="21" spans="2:20" x14ac:dyDescent="0.2">
      <c r="F21" s="697"/>
      <c r="G21" s="697"/>
      <c r="H21" s="659"/>
      <c r="I21" s="659"/>
      <c r="J21" s="659"/>
      <c r="K21" s="659"/>
      <c r="L21" s="659"/>
      <c r="M21" s="659"/>
      <c r="N21" s="659"/>
      <c r="O21" s="694">
        <f t="shared" si="0"/>
        <v>0</v>
      </c>
      <c r="P21" s="659"/>
      <c r="Q21" s="659"/>
      <c r="R21" s="659"/>
      <c r="S21" s="659"/>
      <c r="T21" s="659"/>
    </row>
    <row r="22" spans="2:20" x14ac:dyDescent="0.2">
      <c r="B22" s="602" t="s">
        <v>361</v>
      </c>
      <c r="F22" s="659" t="s">
        <v>346</v>
      </c>
      <c r="G22" s="659" t="s">
        <v>356</v>
      </c>
      <c r="H22" s="659" t="s">
        <v>351</v>
      </c>
      <c r="I22" s="659" t="s">
        <v>352</v>
      </c>
      <c r="J22" s="659" t="s">
        <v>353</v>
      </c>
      <c r="K22" s="659" t="s">
        <v>354</v>
      </c>
      <c r="L22" s="659" t="s">
        <v>355</v>
      </c>
      <c r="M22" s="659"/>
      <c r="N22" s="659"/>
      <c r="O22" s="694" t="str">
        <f t="shared" si="0"/>
        <v>toGraph</v>
      </c>
      <c r="P22" s="659"/>
      <c r="Q22" s="659" t="s">
        <v>347</v>
      </c>
      <c r="R22" s="659" t="s">
        <v>348</v>
      </c>
      <c r="S22" s="659" t="s">
        <v>349</v>
      </c>
      <c r="T22" s="659" t="s">
        <v>350</v>
      </c>
    </row>
    <row r="23" spans="2:20" s="92" customFormat="1" ht="24.95" customHeight="1" x14ac:dyDescent="0.2">
      <c r="C23" s="702" t="str">
        <f>IF(HowSell="Direct to Processor","Net Income","Net Income (Ag &amp; Direct Marketing)")</f>
        <v>Net Income (Ag &amp; Direct Marketing)</v>
      </c>
      <c r="D23" s="687">
        <f>IF(HowSell="Direct to Processor",NetIncomeAgYear1,NetIncomeAgYear1+NetIncomeDMYear1)</f>
        <v>0</v>
      </c>
      <c r="E23" s="691">
        <f>IF(HowSell="Direct to Processor",NetIncomeAgYear2,NetIncomeAgYear2+NetIncomeDMYear2)</f>
        <v>0</v>
      </c>
      <c r="F23" s="694">
        <f>IF(ScorecardGraphsChoice=Year1,D23,E23)</f>
        <v>0</v>
      </c>
      <c r="G23" s="694">
        <f>F23</f>
        <v>0</v>
      </c>
      <c r="H23" s="651"/>
      <c r="I23" s="651"/>
      <c r="J23" s="651"/>
      <c r="K23" s="651"/>
      <c r="L23" s="651"/>
      <c r="M23" s="651"/>
      <c r="N23" s="651"/>
      <c r="O23" s="694">
        <f t="shared" si="0"/>
        <v>0</v>
      </c>
      <c r="P23" s="651" t="str">
        <f t="shared" si="7"/>
        <v>Net Income (Ag &amp; Direct Marketing)</v>
      </c>
      <c r="Q23" s="651">
        <f t="shared" ref="Q23:Q25" si="8">IF(F23&gt;=L23,R23,R23*(F23/L23))</f>
        <v>10</v>
      </c>
      <c r="R23" s="651">
        <v>10</v>
      </c>
      <c r="S23" s="651">
        <f t="shared" ref="S23:S26" si="9">IF(Q23&gt;0,(Q23-(T23/2)),0)</f>
        <v>9.8650000000000002</v>
      </c>
      <c r="T23" s="651">
        <v>0.27</v>
      </c>
    </row>
    <row r="24" spans="2:20" s="92" customFormat="1" ht="24.95" customHeight="1" x14ac:dyDescent="0.2">
      <c r="C24" s="689" t="s">
        <v>362</v>
      </c>
      <c r="D24" s="692">
        <f>IF(ISERROR(IF(HowSell="Direct to Processor",(NetIncomeAgYear1+ACFFCInterestTot-ACFValueLaborTot),(NetIncomeAgYear1+NetIncomeDMYear1+ACFFCInterestTot+ACFDMFCIntTot-ACFValueLaborTot-ACFDMValueLaborTot))/Year1BusAssets)=FALSE,(IF(HowSell="Direct to Processor",(NetIncomeAgYear1+ACFFCInterestTot-ACFValueLaborTot),(NetIncomeAgYear1+NetIncomeDMYear1+ACFFCInterestTot+ACFDMFCIntTot-ACFValueLaborTot-ACFDMValueLaborTot))/Year1BusAssets),0)</f>
        <v>0</v>
      </c>
      <c r="E24" s="692">
        <f>IF(ISERROR(IF(HowSell="Direct to Processor",(NetIncomeAgYear2+MCFFCInterestTot-MCFValueLaborTot),(NetIncomeAgYear2+NetIncomeDMYear2+MCFFCInterestTot+MCFDMFCIntTot-MCFValueLaborTot-MCFDMValueLaborTot))/(AVERAGE(Year1BusAssets,Year2BusAssetsProj)))=FALSE,(IF(HowSell="Direct to Processor",(NetIncomeAgYear2+MCFFCInterestTot-MCFValueLaborTot),(NetIncomeAgYear2+NetIncomeDMYear2+MCFFCInterestTot+MCFDMFCIntTot-MCFValueLaborTot-MCFDMValueLaborTot))/(AVERAGE(Year1BusAssets,Year2BusAssetsProj))),0)</f>
        <v>0</v>
      </c>
      <c r="F24" s="698">
        <f>IF(ScorecardGraphsChoice=Year1,D24,E24)</f>
        <v>0</v>
      </c>
      <c r="G24" s="698">
        <f>F24</f>
        <v>0</v>
      </c>
      <c r="H24" s="695">
        <f t="shared" ref="H24:H26" si="10">I24-((J24-I24))</f>
        <v>2.0000000000000004E-2</v>
      </c>
      <c r="I24" s="695">
        <v>0.04</v>
      </c>
      <c r="J24" s="695">
        <f t="shared" si="5"/>
        <v>0.06</v>
      </c>
      <c r="K24" s="695">
        <v>0.08</v>
      </c>
      <c r="L24" s="695">
        <v>0.12</v>
      </c>
      <c r="M24" s="651"/>
      <c r="N24" s="651"/>
      <c r="O24" s="694">
        <f t="shared" si="0"/>
        <v>0</v>
      </c>
      <c r="P24" s="651" t="str">
        <f t="shared" si="7"/>
        <v>Return on Assets</v>
      </c>
      <c r="Q24" s="651">
        <f t="shared" si="8"/>
        <v>0</v>
      </c>
      <c r="R24" s="651">
        <v>10</v>
      </c>
      <c r="S24" s="651">
        <f t="shared" si="9"/>
        <v>0</v>
      </c>
      <c r="T24" s="651">
        <v>0.27</v>
      </c>
    </row>
    <row r="25" spans="2:20" s="92" customFormat="1" ht="24.95" customHeight="1" x14ac:dyDescent="0.2">
      <c r="C25" s="689" t="s">
        <v>363</v>
      </c>
      <c r="D25" s="692">
        <f>IF(ISERROR(IF(HowSell="Direct to Processor",(NetIncomeAgYear1-ACFValueLaborTot),(NetIncomeAgYear1+NetIncomeDMYear1-ACFValueLaborTot-ACFDMValueLaborTot))/Year1NetWorth)=FALSE,(IF(HowSell="Direct to Processor",(NetIncomeAgYear1-ACFValueLaborTot),(NetIncomeAgYear1+NetIncomeDMYear1-ACFValueLaborTot-ACFDMValueLaborTot))/Year1NetWorth),0)</f>
        <v>0</v>
      </c>
      <c r="E25" s="692">
        <f>IF(ISERROR(IF(HowSell="Direct to Processor",(NetIncomeAgYear2-MCFValueLaborTot),(NetIncomeAgYear2+NetIncomeDMYear2-MCFValueLaborTot-MCFDMValueLaborTot))/(AVERAGE(Year1NetWorth,Year2NetWorthProj)))=FALSE,(IF(HowSell="Direct to Processor",(NetIncomeAgYear2-MCFValueLaborTot),(NetIncomeAgYear2+NetIncomeDMYear2-MCFValueLaborTot-MCFDMValueLaborTot))/(AVERAGE(Year1NetWorth,Year2NetWorthProj))),0)</f>
        <v>0</v>
      </c>
      <c r="F25" s="698">
        <f>IF(ScorecardGraphsChoice=Year1,D25,E25)</f>
        <v>0</v>
      </c>
      <c r="G25" s="698">
        <f>F25</f>
        <v>0</v>
      </c>
      <c r="H25" s="695">
        <f t="shared" si="10"/>
        <v>-5.0000000000000044E-3</v>
      </c>
      <c r="I25" s="695">
        <v>0.03</v>
      </c>
      <c r="J25" s="695">
        <f t="shared" si="5"/>
        <v>6.5000000000000002E-2</v>
      </c>
      <c r="K25" s="695">
        <v>0.1</v>
      </c>
      <c r="L25" s="695">
        <f t="shared" ref="L25" si="11">K25+(K25-J25)</f>
        <v>0.13500000000000001</v>
      </c>
      <c r="M25" s="651"/>
      <c r="N25" s="651"/>
      <c r="O25" s="694">
        <f t="shared" si="0"/>
        <v>0</v>
      </c>
      <c r="P25" s="651" t="str">
        <f t="shared" si="7"/>
        <v>Return on Equity</v>
      </c>
      <c r="Q25" s="651">
        <f t="shared" si="8"/>
        <v>0</v>
      </c>
      <c r="R25" s="651">
        <v>10</v>
      </c>
      <c r="S25" s="651">
        <f t="shared" si="9"/>
        <v>0</v>
      </c>
      <c r="T25" s="651">
        <v>0.27</v>
      </c>
    </row>
    <row r="26" spans="2:20" s="92" customFormat="1" ht="24.95" customHeight="1" x14ac:dyDescent="0.2">
      <c r="C26" s="689" t="s">
        <v>364</v>
      </c>
      <c r="D26" s="692">
        <f>IF(ISERROR(IF(HowSell="Direct to Processor",(NetIncomeAgYear1+ACFFCInterestTot-ACFValueLaborTot),(NetIncomeAgYear1+NetIncomeDMYear1+ACFFCInterestTot+ACFDMFCIntTot-ACFValueLaborTot-ACFDMValueLaborTot))/(IF(HowSell="Direct to Processor",(Year1GCFI-ACFVCFeederLivestockTot-ACFVCPurchFeedTot),(Year1GCFI-ACFVCFeederLivestockTot-ACFVCPurchFeedTot+Year1GCIDM))))=FALSE,(IF(HowSell="Direct to Processor",(NetIncomeAgYear1+ACFFCInterestTot-ACFValueLaborTot),(NetIncomeAgYear1+NetIncomeDMYear1+ACFFCInterestTot+ACFDMFCIntTot-ACFValueLaborTot-ACFDMValueLaborTot))/(IF(HowSell="Direct to Processor",(Year1GCFI-ACFVCFeederLivestockTot-ACFVCPurchFeedTot),(Year1GCFI-ACFVCFeederLivestockTot-ACFVCPurchFeedTot+Year1GCIDM)))),0)</f>
        <v>0</v>
      </c>
      <c r="E26" s="688">
        <f>IF(ISERROR(IF(HowSell="Direct to Processor",(NetIncomeAgYear2+MCFFCInterestTot-MCFValueLaborTot),(NetIncomeAgYear2+NetIncomeDMYear2+MCFFCInterestTot+MCFDMFCIntTot-MCFValueLaborTot-MCFDMValueLaborTot))/(IF(HowSell="Direct to Processor",(Year2GCFIProj-MCFVCFeederLivestockTot-MCFVCPurchFeedTot),(Year2GCFIProj-MCFVCFeederLivestockTot-MCFVCPurchFeedTot+Year2GCIDMProj))))=FALSE,(IF(HowSell="Direct to Processor",(NetIncomeAgYear2+MCFFCInterestTot-MCFValueLaborTot),(NetIncomeAgYear2+NetIncomeDMYear2+MCFFCInterestTot+MCFDMFCIntTot-MCFValueLaborTot-MCFDMValueLaborTot))/(IF(HowSell="Direct to Processor",(Year2GCFIProj-MCFVCFeederLivestockTot-MCFVCPurchFeedTot),(Year2GCFIProj-MCFVCFeederLivestockTot-MCFVCPurchFeedTot+Year2GCIDMProj)))),0)</f>
        <v>0</v>
      </c>
      <c r="F26" s="698">
        <f>IF(ScorecardGraphsChoice=Year1,D26,E26)</f>
        <v>0</v>
      </c>
      <c r="G26" s="698">
        <f>F26</f>
        <v>0</v>
      </c>
      <c r="H26" s="695">
        <f t="shared" si="10"/>
        <v>9.9999999999999978E-2</v>
      </c>
      <c r="I26" s="695">
        <v>0.15</v>
      </c>
      <c r="J26" s="695">
        <f t="shared" si="5"/>
        <v>0.2</v>
      </c>
      <c r="K26" s="695">
        <v>0.25</v>
      </c>
      <c r="L26" s="695">
        <v>0.3</v>
      </c>
      <c r="M26" s="725">
        <f>F26</f>
        <v>0</v>
      </c>
      <c r="N26" s="651"/>
      <c r="O26" s="694">
        <f t="shared" si="0"/>
        <v>0</v>
      </c>
      <c r="P26" s="651" t="str">
        <f t="shared" si="7"/>
        <v>Operating Profit Margin</v>
      </c>
      <c r="Q26" s="651">
        <f>IF(F26&gt;=L26,R26,IF(F26&gt;J26,(((R26*(F26/L26))*0.08)),(R26*(F26/L26))*0.066)*10)</f>
        <v>0</v>
      </c>
      <c r="R26" s="651">
        <v>10</v>
      </c>
      <c r="S26" s="651">
        <f t="shared" si="9"/>
        <v>0</v>
      </c>
      <c r="T26" s="651">
        <v>0.27</v>
      </c>
    </row>
    <row r="27" spans="2:20" x14ac:dyDescent="0.2">
      <c r="F27" s="697"/>
      <c r="G27" s="697"/>
      <c r="H27" s="659"/>
      <c r="I27" s="659"/>
      <c r="J27" s="659"/>
      <c r="K27" s="659"/>
      <c r="L27" s="659"/>
      <c r="M27" s="659"/>
      <c r="N27" s="659"/>
      <c r="O27" s="694">
        <f t="shared" si="0"/>
        <v>0</v>
      </c>
      <c r="P27" s="659"/>
      <c r="Q27" s="659"/>
      <c r="R27" s="659"/>
      <c r="S27" s="659"/>
      <c r="T27" s="659"/>
    </row>
    <row r="28" spans="2:20" x14ac:dyDescent="0.2">
      <c r="B28" s="602" t="s">
        <v>365</v>
      </c>
      <c r="F28" s="659" t="s">
        <v>346</v>
      </c>
      <c r="G28" s="659" t="s">
        <v>356</v>
      </c>
      <c r="H28" s="659" t="s">
        <v>351</v>
      </c>
      <c r="I28" s="659" t="s">
        <v>352</v>
      </c>
      <c r="J28" s="659" t="s">
        <v>353</v>
      </c>
      <c r="K28" s="659" t="s">
        <v>354</v>
      </c>
      <c r="L28" s="659" t="s">
        <v>355</v>
      </c>
      <c r="M28" s="659"/>
      <c r="N28" s="659"/>
      <c r="O28" s="694" t="str">
        <f t="shared" si="0"/>
        <v>toGraph</v>
      </c>
      <c r="P28" s="659"/>
      <c r="Q28" s="659" t="s">
        <v>347</v>
      </c>
      <c r="R28" s="659" t="s">
        <v>348</v>
      </c>
      <c r="S28" s="659" t="s">
        <v>349</v>
      </c>
      <c r="T28" s="659" t="s">
        <v>350</v>
      </c>
    </row>
    <row r="29" spans="2:20" s="92" customFormat="1" ht="24.95" customHeight="1" x14ac:dyDescent="0.2">
      <c r="C29" s="689" t="s">
        <v>366</v>
      </c>
      <c r="D29" s="686">
        <f>IF(ISERROR(IF(HowSell="Direct to Processor",(NetIncomeAgYear1+'Final Income and Cash Flows'!C65+Year1PersIncome-Year1PersOutflows+'Loans to Cash Flows Wkst'!$E$15)/Year1TermDebtPayments,(NetIncomeAgYear1+'Final Income and Cash Flows'!C65+Year1PersIncome-Year1PersOutflows+'Loans to Cash Flows Wkst'!$E$15+NetIncomeDMYear1+'Final Income and Cash Flows'!C136+'Loans to Cash Flows Wkst'!$E$31)/Year1TermDebtPayments))=FALSE,(IF(HowSell="Direct to Processor",(NetIncomeAgYear1+'Final Income and Cash Flows'!C65+Year1PersIncome-Year1PersOutflows+'Loans to Cash Flows Wkst'!$E$15)/Year1TermDebtPayments,(NetIncomeAgYear1+'Final Income and Cash Flows'!C65+Year1PersIncome-Year1PersOutflows+'Loans to Cash Flows Wkst'!$E$15+NetIncomeDMYear1+'Final Income and Cash Flows'!C136+'Loans to Cash Flows Wkst'!$E$31)/Year1TermDebtPayments)),0)</f>
        <v>0</v>
      </c>
      <c r="E29" s="686">
        <f>IF(ISERROR(IF(HowSell="Direct to Processor",(NetIncomeAgYear2+'Final Income and Cash Flows'!D65+Year2PersIncomeProj-Year2PersOutflowsProj+'Loans to Cash Flows Wkst'!$E$15)/Year2TermDebtPaymentsProj,(NetIncomeAgYear2+'Final Income and Cash Flows'!D65+Year2PersIncomeProj-Year2PersOutflowsProj+'Loans to Cash Flows Wkst'!$E$15+NetIncomeDMYear2+'Final Income and Cash Flows'!D136+'Loans to Cash Flows Wkst'!$E$31)/Year2TermDebtPaymentsProj))=FALSE,(IF(HowSell="Direct to Processor",(NetIncomeAgYear2+'Final Income and Cash Flows'!D65+Year2PersIncomeProj-Year2PersOutflowsProj+'Loans to Cash Flows Wkst'!$E$15)/Year2TermDebtPaymentsProj,(NetIncomeAgYear2+'Final Income and Cash Flows'!D65+Year2PersIncomeProj-Year2PersOutflowsProj+'Loans to Cash Flows Wkst'!$E$15+NetIncomeDMYear2+'Final Income and Cash Flows'!D136+'Loans to Cash Flows Wkst'!$E$31)/Year2TermDebtPaymentsProj)),0)</f>
        <v>0</v>
      </c>
      <c r="F29" s="694">
        <f>IF(ScorecardGraphsChoice=Year1,D29,E29)</f>
        <v>0</v>
      </c>
      <c r="G29" s="694" t="str">
        <f>CONCATENATE(ROUND(IF(ScorecardGraphsChoice=Year1,D29,E29),2),":1")</f>
        <v>0:1</v>
      </c>
      <c r="H29" s="651">
        <v>0</v>
      </c>
      <c r="I29" s="651">
        <v>1.25</v>
      </c>
      <c r="J29" s="651">
        <f t="shared" si="5"/>
        <v>1.5</v>
      </c>
      <c r="K29" s="651">
        <v>1.75</v>
      </c>
      <c r="L29" s="651">
        <v>3</v>
      </c>
      <c r="M29" s="651"/>
      <c r="N29" s="651"/>
      <c r="O29" s="694">
        <f t="shared" si="0"/>
        <v>0</v>
      </c>
      <c r="P29" s="651" t="str">
        <f t="shared" si="7"/>
        <v>Term Debt Coverage Ratio</v>
      </c>
      <c r="Q29" s="651">
        <f>IF(F29&gt;=L29,R29,R29*((F29/L29)/1.5))</f>
        <v>0</v>
      </c>
      <c r="R29" s="651">
        <v>10</v>
      </c>
      <c r="S29" s="651">
        <f>IF(Q29&gt;0,(Q29-(T29/2)),0)</f>
        <v>0</v>
      </c>
      <c r="T29" s="651">
        <v>0.27</v>
      </c>
    </row>
    <row r="30" spans="2:20" x14ac:dyDescent="0.2">
      <c r="F30" s="697"/>
      <c r="G30" s="697"/>
      <c r="H30" s="659"/>
      <c r="I30" s="659"/>
      <c r="J30" s="659"/>
      <c r="K30" s="659"/>
      <c r="L30" s="659"/>
      <c r="M30" s="659"/>
      <c r="N30" s="659"/>
      <c r="O30" s="694">
        <f t="shared" si="0"/>
        <v>0</v>
      </c>
      <c r="P30" s="659"/>
      <c r="Q30" s="659"/>
      <c r="R30" s="659"/>
      <c r="S30" s="659"/>
      <c r="T30" s="659"/>
    </row>
    <row r="31" spans="2:20" x14ac:dyDescent="0.2">
      <c r="B31" s="602" t="s">
        <v>367</v>
      </c>
      <c r="F31" s="659" t="s">
        <v>346</v>
      </c>
      <c r="G31" s="659" t="s">
        <v>356</v>
      </c>
      <c r="H31" s="659" t="s">
        <v>351</v>
      </c>
      <c r="I31" s="659" t="s">
        <v>352</v>
      </c>
      <c r="J31" s="659" t="s">
        <v>353</v>
      </c>
      <c r="K31" s="659" t="s">
        <v>354</v>
      </c>
      <c r="L31" s="659" t="s">
        <v>355</v>
      </c>
      <c r="M31" s="659"/>
      <c r="N31" s="659"/>
      <c r="O31" s="694" t="str">
        <f t="shared" si="0"/>
        <v>toGraph</v>
      </c>
      <c r="P31" s="659"/>
      <c r="Q31" s="659" t="s">
        <v>347</v>
      </c>
      <c r="R31" s="659" t="s">
        <v>348</v>
      </c>
      <c r="S31" s="659" t="s">
        <v>349</v>
      </c>
      <c r="T31" s="659" t="s">
        <v>350</v>
      </c>
    </row>
    <row r="32" spans="2:20" s="92" customFormat="1" ht="24.95" customHeight="1" x14ac:dyDescent="0.2">
      <c r="C32" s="689" t="s">
        <v>368</v>
      </c>
      <c r="D32" s="692">
        <f>IF(ISERROR(Year1ValueFarmProd/(AVERAGE(Year1BusAssets)))=FALSE,(Year1ValueFarmProd/(AVERAGE(Year1BusAssets))),0)</f>
        <v>0</v>
      </c>
      <c r="E32" s="692">
        <f>IF(ISERROR(Year2ValueFarmProdProj/(AVERAGE(Year1BusAssets,Year2BusAssetsProj)))=FALSE,(Year2ValueFarmProdProj/(AVERAGE(Year1BusAssets,Year2BusAssetsProj))),0)</f>
        <v>0</v>
      </c>
      <c r="F32" s="698">
        <f>IF(ScorecardGraphsChoice=Year1,D32,E32)</f>
        <v>0</v>
      </c>
      <c r="G32" s="698">
        <f>IF(ScorecardGraphsChoice=Year1,D32,E32)</f>
        <v>0</v>
      </c>
      <c r="H32" s="695">
        <f>I32-((J32-I32))</f>
        <v>0.22499999999999998</v>
      </c>
      <c r="I32" s="695">
        <v>0.3</v>
      </c>
      <c r="J32" s="695">
        <f t="shared" si="5"/>
        <v>0.375</v>
      </c>
      <c r="K32" s="695">
        <v>0.45</v>
      </c>
      <c r="L32" s="695">
        <f>K32+(K32-J32)</f>
        <v>0.52500000000000002</v>
      </c>
      <c r="M32" s="651"/>
      <c r="N32" s="651"/>
      <c r="O32" s="694">
        <f t="shared" si="0"/>
        <v>0</v>
      </c>
      <c r="P32" s="651" t="str">
        <f t="shared" si="7"/>
        <v>Asset-Turnover Ratio</v>
      </c>
      <c r="Q32" s="651">
        <f>IF(F32&gt;=L32,R32,R32*((F32/L32)/1.65))</f>
        <v>0</v>
      </c>
      <c r="R32" s="651">
        <v>10</v>
      </c>
      <c r="S32" s="651">
        <f t="shared" ref="S32:S36" si="12">IF(Q32&gt;0,(Q32-(T32/2)),0)</f>
        <v>0</v>
      </c>
      <c r="T32" s="651">
        <v>0.27</v>
      </c>
    </row>
    <row r="33" spans="3:20" s="92" customFormat="1" ht="24.95" customHeight="1" x14ac:dyDescent="0.2">
      <c r="C33" s="689" t="s">
        <v>369</v>
      </c>
      <c r="D33" s="692">
        <f>IF(ISERROR(IF(HowSell="Direct to Processor",(Year1OpExp-ACFFCInterestTot-ACFFCDeprBuildTot-ACFFCDeprLivestockTot-ACFFCDeprEquipTot)/(Year1GCFI),(Year1OpExp-ACFFCInterestTot-ACFFCDeprBuildTot-ACFFCDeprLivestockTot-ACFFCDeprEquipTot+Year1DMOpExp-ACFDMFCIntTot-ACFDMFCDeprTot)/(Year1GCFI+Year1GCIDM)))=FALSE,(IF(HowSell="Direct to Processor",(Year1OpExp-ACFFCInterestTot-ACFFCDeprBuildTot-ACFFCDeprLivestockTot-ACFFCDeprEquipTot)/(Year1GCFI),(Year1OpExp-ACFFCInterestTot-ACFFCDeprBuildTot-ACFFCDeprLivestockTot-ACFFCDeprEquipTot+Year1DMOpExp-ACFDMFCIntTot-ACFDMFCDeprTot)/(Year1GCFI+Year1GCIDM))),0)</f>
        <v>0</v>
      </c>
      <c r="E33" s="692">
        <f>IF(ISERROR(IF(HowSell="Direct to Processor",(Year2OpExpProj-MCFFCInterestTot-MCFFCDeprBuildTot-MCFFCDeprLivestockTot-MCFFCDeprEquipTot)/(Year2GCFIProj),(Year2OpExpProj-MCFFCInterestTot-MCFFCDeprBuildTot-MCFFCDeprLivestockTot-MCFFCDeprEquipTot+Year2DMOpExpProj-MCFDMFCIntTot-MCFDMFCDeprTot)/(Year2GCFIProj+Year2GCIDMProj)))=FALSE,(IF(HowSell="Direct to Processor",(Year2OpExpProj-MCFFCInterestTot-MCFFCDeprBuildTot-MCFFCDeprLivestockTot-MCFFCDeprEquipTot)/(Year2GCFIProj),(Year2OpExpProj-MCFFCInterestTot-MCFFCDeprBuildTot-MCFFCDeprLivestockTot-MCFFCDeprEquipTot+Year2DMOpExpProj-MCFDMFCIntTot-MCFDMFCDeprTot)/(Year2GCFIProj+Year2GCIDMProj))),0)</f>
        <v>0</v>
      </c>
      <c r="F33" s="698">
        <f>IF(ScorecardGraphsChoice=Year1,D33,E33)</f>
        <v>0</v>
      </c>
      <c r="G33" s="698">
        <f>IF(ScorecardGraphsChoice=Year1,D33,E33)</f>
        <v>0</v>
      </c>
      <c r="H33" s="695">
        <f t="shared" ref="H33:H36" si="13">I33-((J33-I33))</f>
        <v>0.90000000000000013</v>
      </c>
      <c r="I33" s="695">
        <v>0.8</v>
      </c>
      <c r="J33" s="695">
        <f t="shared" si="5"/>
        <v>0.7</v>
      </c>
      <c r="K33" s="695">
        <v>0.6</v>
      </c>
      <c r="L33" s="695">
        <f t="shared" ref="L33:L36" si="14">K33+(K33-J33)</f>
        <v>0.5</v>
      </c>
      <c r="M33" s="725">
        <f>F33</f>
        <v>0</v>
      </c>
      <c r="N33" s="651"/>
      <c r="O33" s="694">
        <f t="shared" si="0"/>
        <v>0</v>
      </c>
      <c r="P33" s="651" t="str">
        <f t="shared" si="7"/>
        <v>Operating Expense Ratio</v>
      </c>
      <c r="Q33" s="651">
        <f>IF(F33&lt;=L33,R33,IF(F33&lt;J33,(((R33)*(L33/F33))*0.08)*10,(((R33)*(L33/F33))*0.055)*10))</f>
        <v>10</v>
      </c>
      <c r="R33" s="651">
        <v>10</v>
      </c>
      <c r="S33" s="651">
        <f t="shared" si="12"/>
        <v>9.8650000000000002</v>
      </c>
      <c r="T33" s="651">
        <v>0.27</v>
      </c>
    </row>
    <row r="34" spans="3:20" s="92" customFormat="1" ht="24.95" customHeight="1" x14ac:dyDescent="0.2">
      <c r="C34" s="689" t="s">
        <v>371</v>
      </c>
      <c r="D34" s="692">
        <f>IF(ISERROR(IF(HowSell="Direct to Processor",(ACFFCInterestTot)/(Year1GCFI),(ACFFCInterestTot+ACFDMFCIntTot)/(Year1GCFI+Year1GCIDM)))=FALSE,(IF(HowSell="Direct to Processor",(ACFFCInterestTot)/(Year1GCFI),(ACFFCInterestTot+ACFDMFCIntTot)/(Year1GCFI+Year1GCIDM))),0)</f>
        <v>0</v>
      </c>
      <c r="E34" s="692">
        <f>IF(ISERROR(IF(HowSell="Direct to Processor",(MCFFCInterestTot)/(Year2GCFIProj),(MCFFCInterestTot+MCFDMFCIntTot)/(Year2GCFIProj+Year2GCIDMProj)))=FALSE,(IF(HowSell="Direct to Processor",(MCFFCInterestTot)/(Year2GCFIProj),(MCFFCInterestTot+MCFDMFCIntTot)/(Year2GCFIProj+Year2GCIDMProj))),0)</f>
        <v>0</v>
      </c>
      <c r="F34" s="698">
        <f>IF(ScorecardGraphsChoice=Year1,D34,E34)*(J36*2)</f>
        <v>0</v>
      </c>
      <c r="G34" s="698">
        <f>IF(ScorecardGraphsChoice=Year1,D34,E34)</f>
        <v>0</v>
      </c>
      <c r="H34" s="695">
        <f t="shared" si="13"/>
        <v>0.125</v>
      </c>
      <c r="I34" s="695">
        <v>0.1</v>
      </c>
      <c r="J34" s="695">
        <f t="shared" si="5"/>
        <v>7.5000000000000011E-2</v>
      </c>
      <c r="K34" s="695">
        <v>0.05</v>
      </c>
      <c r="L34" s="695">
        <f t="shared" si="14"/>
        <v>2.4999999999999994E-2</v>
      </c>
      <c r="M34" s="651"/>
      <c r="N34" s="651"/>
      <c r="O34" s="694">
        <f t="shared" si="0"/>
        <v>0</v>
      </c>
      <c r="P34" s="651" t="str">
        <f t="shared" si="7"/>
        <v>Interest Expense Ratio</v>
      </c>
      <c r="Q34" s="651">
        <f>IF(F34&lt;=L34,R34,(R34)*(L34/F34))</f>
        <v>10</v>
      </c>
      <c r="R34" s="651">
        <v>10</v>
      </c>
      <c r="S34" s="651">
        <f t="shared" si="12"/>
        <v>9.8650000000000002</v>
      </c>
      <c r="T34" s="651">
        <v>0.27</v>
      </c>
    </row>
    <row r="35" spans="3:20" s="92" customFormat="1" ht="24.95" customHeight="1" x14ac:dyDescent="0.2">
      <c r="C35" s="689" t="s">
        <v>370</v>
      </c>
      <c r="D35" s="692">
        <f>IF(ISERROR(IF(HowSell="Direct to Processor",(ACFFCDeprBuildTot+ACFFCDeprLivestockTot+ACFFCDeprEquipTot)/(Year1GCFI),(ACFFCDeprBuildTot+ACFFCDeprLivestockTot+ACFFCDeprEquipTot+ACFDMFCIntTot-ACFDMFCDeprTot)/(Year1GCFI+Year1GCIDM)))=FALSE,(IF(HowSell="Direct to Processor",(ACFFCDeprBuildTot+ACFFCDeprLivestockTot+ACFFCDeprEquipTot)/(Year1GCFI),(ACFFCDeprBuildTot+ACFFCDeprLivestockTot+ACFFCDeprEquipTot+ACFDMFCIntTot-ACFDMFCDeprTot)/(Year1GCFI+Year1GCIDM))),0)</f>
        <v>0</v>
      </c>
      <c r="E35" s="692">
        <f>IF(ISERROR(IF(HowSell="Direct to Processor",(MCFFCDeprBuildTot+MCFFCDeprLivestockTot+MCFFCDeprEquipTot)/(Year2GCFIProj),(MCFFCDeprBuildTot+MCFFCDeprLivestockTot+MCFFCDeprEquipTot+MCFDMFCIntTot-MCFDMFCDeprTot)/(Year2GCFIProj+Year2GCIDMProj)))=FALSE,(IF(HowSell="Direct to Processor",(MCFFCDeprBuildTot+MCFFCDeprLivestockTot+MCFFCDeprEquipTot)/(Year2GCFIProj),(MCFFCDeprBuildTot+MCFFCDeprLivestockTot+MCFFCDeprEquipTot+MCFDMFCIntTot-MCFDMFCDeprTot)/(Year2GCFIProj+Year2GCIDMProj))),0)</f>
        <v>0</v>
      </c>
      <c r="F35" s="698">
        <f>IF(ScorecardGraphsChoice=Year1,D35,E35)/(J36*2)</f>
        <v>0</v>
      </c>
      <c r="G35" s="698">
        <f>IF(ScorecardGraphsChoice=Year1,D35,E35)</f>
        <v>0</v>
      </c>
      <c r="H35" s="695">
        <v>0.16</v>
      </c>
      <c r="I35" s="695">
        <v>0.1</v>
      </c>
      <c r="J35" s="695">
        <f t="shared" si="5"/>
        <v>7.5000000000000011E-2</v>
      </c>
      <c r="K35" s="695">
        <v>0.05</v>
      </c>
      <c r="L35" s="695">
        <v>0</v>
      </c>
      <c r="M35" s="696">
        <f>H35</f>
        <v>0.16</v>
      </c>
      <c r="N35" s="651"/>
      <c r="O35" s="694">
        <f t="shared" si="0"/>
        <v>0</v>
      </c>
      <c r="P35" s="651" t="str">
        <f t="shared" si="7"/>
        <v>Depreciation Expense Ratio</v>
      </c>
      <c r="Q35" s="651">
        <f>IF(F35&lt;=L35,R35,(R35)*(H35/F35))/1.4</f>
        <v>7.1428571428571432</v>
      </c>
      <c r="R35" s="651">
        <v>10</v>
      </c>
      <c r="S35" s="651">
        <f t="shared" si="12"/>
        <v>7.0078571428571435</v>
      </c>
      <c r="T35" s="651">
        <v>0.27</v>
      </c>
    </row>
    <row r="36" spans="3:20" s="92" customFormat="1" ht="24.95" customHeight="1" x14ac:dyDescent="0.2">
      <c r="C36" s="689" t="s">
        <v>372</v>
      </c>
      <c r="D36" s="692">
        <f>IF(ISERROR(IF(HowSell="Direct to Processor",(NetIncomeAgYear1)/(Year1GCFI),(NetIncomeAgYear1+NetIncomeDMYear1)/(Year1GCFI+Year1GCIDM)))=FALSE,(IF(HowSell="Direct to Processor",(NetIncomeAgYear1)/(Year1GCFI),(NetIncomeAgYear1+NetIncomeDMYear1)/(Year1GCFI+Year1GCIDM))),0)</f>
        <v>0</v>
      </c>
      <c r="E36" s="692">
        <f>IF(ISERROR(IF(HowSell="Direct to Processor",(NetIncomeAgYear2)/(Year2GCFIProj),(NetIncomeAgYear2+NetIncomeDMYear2)/(Year2GCFIProj+Year2GCIDMProj)))=FALSE,(IF(HowSell="Direct to Processor",(NetIncomeAgYear2)/(Year2GCFIProj),(NetIncomeAgYear2+NetIncomeDMYear2)/(Year2GCFIProj+Year2GCIDMProj))),0)</f>
        <v>0</v>
      </c>
      <c r="F36" s="698">
        <f>IF(ScorecardGraphsChoice=Year1,D36,E36)*(J36*2)</f>
        <v>0</v>
      </c>
      <c r="G36" s="698">
        <f>IF(ScorecardGraphsChoice=Year1,D36,E36)</f>
        <v>0</v>
      </c>
      <c r="H36" s="695">
        <f t="shared" si="13"/>
        <v>4.9999999999999989E-2</v>
      </c>
      <c r="I36" s="695">
        <v>0.1</v>
      </c>
      <c r="J36" s="695">
        <f t="shared" si="5"/>
        <v>0.15000000000000002</v>
      </c>
      <c r="K36" s="695">
        <v>0.2</v>
      </c>
      <c r="L36" s="695">
        <f t="shared" si="14"/>
        <v>0.25</v>
      </c>
      <c r="M36" s="651"/>
      <c r="N36" s="651"/>
      <c r="O36" s="694">
        <f t="shared" si="0"/>
        <v>0</v>
      </c>
      <c r="P36" s="651" t="str">
        <f t="shared" si="7"/>
        <v>Net Income Ratio</v>
      </c>
      <c r="Q36" s="651">
        <f>IF(IF(F36&gt;=L36,R36,R36*(F36/L36))/(J36*2.5)&gt;R36,10,IF(F36&gt;=L36,R36,R36*(F36/L36))/(J36*2.5))</f>
        <v>0</v>
      </c>
      <c r="R36" s="651">
        <v>10</v>
      </c>
      <c r="S36" s="651">
        <f t="shared" si="12"/>
        <v>0</v>
      </c>
      <c r="T36" s="651">
        <v>0.27</v>
      </c>
    </row>
    <row r="37" spans="3:20" x14ac:dyDescent="0.2">
      <c r="D37" s="656"/>
      <c r="E37" s="656"/>
      <c r="O37" s="719"/>
    </row>
    <row r="40" spans="3:20" x14ac:dyDescent="0.2">
      <c r="C40" s="57"/>
      <c r="F40" s="699"/>
    </row>
    <row r="41" spans="3:20" x14ac:dyDescent="0.2">
      <c r="F41" s="699"/>
    </row>
    <row r="42" spans="3:20" x14ac:dyDescent="0.2">
      <c r="C42" s="57"/>
    </row>
  </sheetData>
  <sheetProtection algorithmName="SHA-512" hashValue="CyP+jnT4h9p+/dD0voEwoRompV7LocchlGOPDHcVehShNN86kwn0tXD1ae1TAjSgrHFluaV9cvCZNbQ1A+W7ww==" saltValue="7cnjQxgTE+AmqQP8e79Hiw==" spinCount="100000" sheet="1" objects="1" scenarios="1"/>
  <mergeCells count="4">
    <mergeCell ref="E11:E12"/>
    <mergeCell ref="A2:I2"/>
    <mergeCell ref="A3:I3"/>
    <mergeCell ref="D11:D12"/>
  </mergeCells>
  <conditionalFormatting sqref="D13:D15 D18:D20 D23:D26 D29 D32:D36">
    <cfRule type="expression" dxfId="1" priority="2">
      <formula>ScorecardGraphsChoice=Year1</formula>
    </cfRule>
  </conditionalFormatting>
  <conditionalFormatting sqref="E13:E15 E18:E20 E23:E26 E29 E32:E36">
    <cfRule type="expression" dxfId="0" priority="1">
      <formula>ScorecardGraphsChoice=Year2</formula>
    </cfRule>
  </conditionalFormatting>
  <hyperlinks>
    <hyperlink ref="A3:I3" r:id="rId1" display="For more information visit http://Ans.Farm/FinancialScorecard"/>
  </hyperlinks>
  <pageMargins left="0.7" right="0.7" top="0.75" bottom="0.75" header="0.3" footer="0.3"/>
  <pageSetup orientation="portrait" horizontalDpi="1200" verticalDpi="1200" r:id="rId2"/>
  <headerFooter>
    <oddFooter>&amp;LAgPlan Farm Financial Scorecard&amp;RAgPlan.com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28353" r:id="rId5" name="Drop Down 1">
              <controlPr locked="0" defaultSize="0" autoLine="0" autoPict="0">
                <anchor moveWithCells="1">
                  <from>
                    <xdr:col>6</xdr:col>
                    <xdr:colOff>9525</xdr:colOff>
                    <xdr:row>7</xdr:row>
                    <xdr:rowOff>9525</xdr:rowOff>
                  </from>
                  <to>
                    <xdr:col>7</xdr:col>
                    <xdr:colOff>714375</xdr:colOff>
                    <xdr:row>7</xdr:row>
                    <xdr:rowOff>333375</xdr:rowOff>
                  </to>
                </anchor>
              </controlPr>
            </control>
          </mc:Choice>
        </mc:AlternateContent>
        <mc:AlternateContent xmlns:mc="http://schemas.openxmlformats.org/markup-compatibility/2006">
          <mc:Choice Requires="x14">
            <control shapeId="228354" r:id="rId6" name="Drop Down 2">
              <controlPr locked="0" defaultSize="0" autoLine="0" autoPict="0">
                <anchor moveWithCells="1">
                  <from>
                    <xdr:col>5</xdr:col>
                    <xdr:colOff>190500</xdr:colOff>
                    <xdr:row>8</xdr:row>
                    <xdr:rowOff>57150</xdr:rowOff>
                  </from>
                  <to>
                    <xdr:col>8</xdr:col>
                    <xdr:colOff>209550</xdr:colOff>
                    <xdr:row>9</xdr:row>
                    <xdr:rowOff>314325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400"/>
  </sheetPr>
  <dimension ref="A1:E82"/>
  <sheetViews>
    <sheetView workbookViewId="0">
      <selection activeCell="E5" sqref="E5"/>
    </sheetView>
  </sheetViews>
  <sheetFormatPr defaultRowHeight="12.75" x14ac:dyDescent="0.2"/>
  <cols>
    <col min="1" max="2" width="4.7109375" customWidth="1"/>
    <col min="3" max="3" width="34.28515625" bestFit="1" customWidth="1"/>
    <col min="4" max="4" width="14" style="600" bestFit="1" customWidth="1"/>
    <col min="5" max="5" width="19.7109375" style="600" bestFit="1" customWidth="1"/>
  </cols>
  <sheetData>
    <row r="1" spans="1:5" x14ac:dyDescent="0.2">
      <c r="A1" t="s">
        <v>386</v>
      </c>
    </row>
    <row r="2" spans="1:5" x14ac:dyDescent="0.2">
      <c r="D2" s="600">
        <f>Year</f>
        <v>2016</v>
      </c>
      <c r="E2" s="600" t="str">
        <f>CONCATENATE("End of ",Year2)</f>
        <v>End of 2017 Projected</v>
      </c>
    </row>
    <row r="3" spans="1:5" x14ac:dyDescent="0.2">
      <c r="B3" s="57" t="s">
        <v>396</v>
      </c>
    </row>
    <row r="4" spans="1:5" x14ac:dyDescent="0.2">
      <c r="B4" t="s">
        <v>162</v>
      </c>
    </row>
    <row r="5" spans="1:5" x14ac:dyDescent="0.2">
      <c r="C5" t="str">
        <f>CONCATENATE('Final Balance Sheet'!B8)</f>
        <v>Cash</v>
      </c>
      <c r="D5" s="600">
        <f>'Final Balance Sheet'!C8</f>
        <v>0</v>
      </c>
      <c r="E5" s="600">
        <f>'Cash Flows'!Q230</f>
        <v>0</v>
      </c>
    </row>
    <row r="6" spans="1:5" x14ac:dyDescent="0.2">
      <c r="C6" t="str">
        <f>CONCATENATE('Final Balance Sheet'!B9,"*")</f>
        <v>Pre-paid Expenses*</v>
      </c>
      <c r="D6" s="600">
        <f>'Final Balance Sheet'!C9</f>
        <v>0</v>
      </c>
      <c r="E6" s="600">
        <f>'Final Balance Sheet'!C9</f>
        <v>0</v>
      </c>
    </row>
    <row r="7" spans="1:5" x14ac:dyDescent="0.2">
      <c r="C7" t="str">
        <f>CONCATENATE('Final Balance Sheet'!B10)</f>
        <v>Crop Inventory</v>
      </c>
      <c r="D7" s="600">
        <f>'Final Balance Sheet'!C10</f>
        <v>0</v>
      </c>
      <c r="E7" s="600">
        <f>InvProjCropsEntryProj</f>
        <v>0</v>
      </c>
    </row>
    <row r="8" spans="1:5" x14ac:dyDescent="0.2">
      <c r="C8" t="str">
        <f>CONCATENATE('Final Balance Sheet'!B11)</f>
        <v>Livestock Held for Sale</v>
      </c>
      <c r="D8" s="600">
        <f>'Final Balance Sheet'!C11</f>
        <v>0</v>
      </c>
      <c r="E8" s="600">
        <f>InvProjLivestockEntryProj</f>
        <v>0</v>
      </c>
    </row>
    <row r="9" spans="1:5" x14ac:dyDescent="0.2">
      <c r="C9" t="str">
        <f>CONCATENATE('Final Balance Sheet'!B12,"*")</f>
        <v>Other Inventory*</v>
      </c>
      <c r="D9" s="600">
        <f>'Final Balance Sheet'!C12</f>
        <v>0</v>
      </c>
      <c r="E9" s="600">
        <f>InvProjOthEntryProj</f>
        <v>0</v>
      </c>
    </row>
    <row r="10" spans="1:5" x14ac:dyDescent="0.2">
      <c r="C10" t="str">
        <f>CONCATENATE('Final Balance Sheet'!B13,"*")</f>
        <v>Due from Processors*</v>
      </c>
      <c r="D10" s="600">
        <f>'Final Balance Sheet'!C13</f>
        <v>0</v>
      </c>
      <c r="E10" s="600">
        <f>'Final Balance Sheet'!C13</f>
        <v>0</v>
      </c>
    </row>
    <row r="11" spans="1:5" x14ac:dyDescent="0.2">
      <c r="C11" t="str">
        <f>CONCATENATE('Final Balance Sheet'!B14,"*")</f>
        <v>Other Business Accounts Receivables*</v>
      </c>
      <c r="D11" s="600">
        <f>'Final Balance Sheet'!C14</f>
        <v>0</v>
      </c>
      <c r="E11" s="600">
        <f>'Final Balance Sheet'!C14</f>
        <v>0</v>
      </c>
    </row>
    <row r="12" spans="1:5" x14ac:dyDescent="0.2">
      <c r="C12" t="str">
        <f>CONCATENATE('Final Balance Sheet'!B15,"*")</f>
        <v>Business Loans Receivable*</v>
      </c>
      <c r="D12" s="600">
        <f>'Final Balance Sheet'!C15</f>
        <v>0</v>
      </c>
      <c r="E12" s="600">
        <f>'Final Balance Sheet'!C15</f>
        <v>0</v>
      </c>
    </row>
    <row r="13" spans="1:5" x14ac:dyDescent="0.2">
      <c r="C13" t="str">
        <f>CONCATENATE('Final Balance Sheet'!B16,"*")</f>
        <v>Other Current Assets*</v>
      </c>
      <c r="D13" s="600">
        <f>'Final Balance Sheet'!C16</f>
        <v>0</v>
      </c>
      <c r="E13" s="600">
        <f>'Final Balance Sheet'!C16</f>
        <v>0</v>
      </c>
    </row>
    <row r="14" spans="1:5" x14ac:dyDescent="0.2">
      <c r="B14" t="s">
        <v>164</v>
      </c>
      <c r="D14" s="600">
        <f>SUM(D5:D13)</f>
        <v>0</v>
      </c>
      <c r="E14" s="600">
        <f>SUM(E5:E13)</f>
        <v>0</v>
      </c>
    </row>
    <row r="16" spans="1:5" x14ac:dyDescent="0.2">
      <c r="B16" s="57" t="s">
        <v>387</v>
      </c>
    </row>
    <row r="17" spans="2:5" x14ac:dyDescent="0.2">
      <c r="C17" t="str">
        <f>CONCATENATE('Final Balance Sheet'!B20,"*")</f>
        <v>Equipment*</v>
      </c>
      <c r="D17" s="600">
        <f>'Final Balance Sheet'!C20</f>
        <v>0</v>
      </c>
      <c r="E17" s="600">
        <f>'Final Balance Sheet'!C20+MCFCapPurchEquipTot-MCFFCDeprEquipTot-MCFEquipBSValTot+MCFDMCapPurchTot-MCFDMFCDeprTot-MCFDMEquipBSValTot+'Final Balance Sheet'!C22</f>
        <v>0</v>
      </c>
    </row>
    <row r="18" spans="2:5" x14ac:dyDescent="0.2">
      <c r="C18" t="str">
        <f>CONCATENATE('Final Balance Sheet'!B21,"*")</f>
        <v>Breeding Livestock*</v>
      </c>
      <c r="D18" s="600">
        <f>'Final Balance Sheet'!C21</f>
        <v>0</v>
      </c>
      <c r="E18" s="600">
        <f>'Final Balance Sheet'!C21+MCFCapPurchLivestockTot-MCFFCDeprLivestockTot-MCFLivestockBSValTot</f>
        <v>0</v>
      </c>
    </row>
    <row r="19" spans="2:5" x14ac:dyDescent="0.2">
      <c r="C19" t="str">
        <f>CONCATENATE('Final Balance Sheet'!B22,"*")</f>
        <v>Business Vehicles*</v>
      </c>
      <c r="D19" s="600">
        <f>'Final Balance Sheet'!C22</f>
        <v>0</v>
      </c>
    </row>
    <row r="20" spans="2:5" x14ac:dyDescent="0.2">
      <c r="B20" s="57" t="s">
        <v>389</v>
      </c>
      <c r="D20" s="600">
        <f>SUM(D17:D19)</f>
        <v>0</v>
      </c>
      <c r="E20" s="600">
        <f>SUM(E17:E19)</f>
        <v>0</v>
      </c>
    </row>
    <row r="22" spans="2:5" x14ac:dyDescent="0.2">
      <c r="B22" s="57" t="s">
        <v>391</v>
      </c>
    </row>
    <row r="23" spans="2:5" x14ac:dyDescent="0.2">
      <c r="C23" t="str">
        <f>CONCATENATE('Final Balance Sheet'!B26,"*")</f>
        <v>Land*</v>
      </c>
      <c r="D23" s="600">
        <f>'Final Balance Sheet'!C26</f>
        <v>0</v>
      </c>
      <c r="E23" s="600">
        <f>'Final Balance Sheet'!C26</f>
        <v>0</v>
      </c>
    </row>
    <row r="24" spans="2:5" x14ac:dyDescent="0.2">
      <c r="C24" t="str">
        <f>CONCATENATE('Final Balance Sheet'!B27,"*")</f>
        <v>Buildings &amp; Improvements*</v>
      </c>
      <c r="D24" s="600">
        <f>'Final Balance Sheet'!C27</f>
        <v>0</v>
      </c>
      <c r="E24" s="600">
        <f>'Final Balance Sheet'!C27+MCFCapPurchBuildingsTot-MCFFCDeprBuildTot-MCFBuildBSValTot</f>
        <v>0</v>
      </c>
    </row>
    <row r="25" spans="2:5" x14ac:dyDescent="0.2">
      <c r="C25" t="str">
        <f>CONCATENATE('Final Balance Sheet'!B28,"*")</f>
        <v>Oth Business Real Estate*</v>
      </c>
      <c r="D25" s="600">
        <f>'Final Balance Sheet'!C28</f>
        <v>0</v>
      </c>
      <c r="E25" s="600">
        <f>'Final Balance Sheet'!C28</f>
        <v>0</v>
      </c>
    </row>
    <row r="26" spans="2:5" x14ac:dyDescent="0.2">
      <c r="C26" t="str">
        <f>CONCATENATE('Final Balance Sheet'!B29,"*")</f>
        <v>Other Non-Current Business Assets*</v>
      </c>
      <c r="D26" s="600">
        <f>'Final Balance Sheet'!C29</f>
        <v>0</v>
      </c>
      <c r="E26" s="600">
        <f>'Final Balance Sheet'!C29</f>
        <v>0</v>
      </c>
    </row>
    <row r="27" spans="2:5" x14ac:dyDescent="0.2">
      <c r="B27" s="57" t="s">
        <v>393</v>
      </c>
      <c r="D27" s="600">
        <f>SUM(D23:D26)</f>
        <v>0</v>
      </c>
      <c r="E27" s="600">
        <f>SUM(E23:E26)</f>
        <v>0</v>
      </c>
    </row>
    <row r="29" spans="2:5" x14ac:dyDescent="0.2">
      <c r="B29" s="57" t="s">
        <v>395</v>
      </c>
      <c r="D29" s="600">
        <f>D14+D20+D27</f>
        <v>0</v>
      </c>
      <c r="E29" s="600">
        <f>E14+E20+E27</f>
        <v>0</v>
      </c>
    </row>
    <row r="31" spans="2:5" x14ac:dyDescent="0.2">
      <c r="B31" s="57" t="s">
        <v>397</v>
      </c>
    </row>
    <row r="32" spans="2:5" x14ac:dyDescent="0.2">
      <c r="B32" s="57" t="s">
        <v>163</v>
      </c>
    </row>
    <row r="33" spans="2:5" x14ac:dyDescent="0.2">
      <c r="C33" t="str">
        <f>CONCATENATE('Final Balance Sheet'!D8)</f>
        <v>Operating Loans</v>
      </c>
      <c r="D33" s="600">
        <f>'Final Balance Sheet'!G8</f>
        <v>0</v>
      </c>
      <c r="E33" s="600">
        <f>D33+LoanProjSumOpAgCurr+LoanProjSumOpAgRem+LoanProjSumDMOpCurr+LoanProjSumDMOpRem</f>
        <v>0</v>
      </c>
    </row>
    <row r="34" spans="2:5" x14ac:dyDescent="0.2">
      <c r="C34" t="str">
        <f>CONCATENATE('Final Balance Sheet'!D9)</f>
        <v>Current Portion of Long-term Loans</v>
      </c>
      <c r="D34" s="600">
        <f>'Final Balance Sheet'!G9</f>
        <v>0</v>
      </c>
      <c r="E34" s="600">
        <f>CurPortLTProjected+LoanProjSumAgBusCurr+LoanProjSumDMBusCurr</f>
        <v>0</v>
      </c>
    </row>
    <row r="35" spans="2:5" x14ac:dyDescent="0.2">
      <c r="C35" t="str">
        <f>CONCATENATE('Final Balance Sheet'!D10,"*")</f>
        <v>Business Credit Card Debt*</v>
      </c>
      <c r="D35" s="600">
        <f>'Final Balance Sheet'!G10</f>
        <v>0</v>
      </c>
      <c r="E35" s="600">
        <f>'Final Balance Sheet'!G10</f>
        <v>0</v>
      </c>
    </row>
    <row r="36" spans="2:5" x14ac:dyDescent="0.2">
      <c r="C36" t="str">
        <f>CONCATENATE('Final Balance Sheet'!D11,"*")</f>
        <v>Taxes &amp; Assessments Payable*</v>
      </c>
      <c r="D36" s="600">
        <f>'Final Balance Sheet'!G11</f>
        <v>0</v>
      </c>
      <c r="E36" s="600">
        <f>'Final Balance Sheet'!G11</f>
        <v>0</v>
      </c>
    </row>
    <row r="37" spans="2:5" x14ac:dyDescent="0.2">
      <c r="C37" t="str">
        <f>CONCATENATE('Final Balance Sheet'!D12,"*")</f>
        <v>Accrued Interest*</v>
      </c>
      <c r="D37" s="600">
        <f>'Final Balance Sheet'!G12</f>
        <v>0</v>
      </c>
      <c r="E37" s="600">
        <f>LoanAccrIntProj+LoanProjSumAgBusAccrInt+LoanProjSumDMBusAccrInt+LoanProjSumOpAgAccrInt+LoanProjSumDMOpAccrInt</f>
        <v>0</v>
      </c>
    </row>
    <row r="38" spans="2:5" x14ac:dyDescent="0.2">
      <c r="C38" t="str">
        <f>CONCATENATE('Final Balance Sheet'!D13,"*")</f>
        <v>Accounts Payable*</v>
      </c>
      <c r="D38" s="600">
        <f>'Final Balance Sheet'!G13</f>
        <v>0</v>
      </c>
      <c r="E38" s="600">
        <f>'Final Balance Sheet'!G13</f>
        <v>0</v>
      </c>
    </row>
    <row r="39" spans="2:5" x14ac:dyDescent="0.2">
      <c r="C39" t="str">
        <f>CONCATENATE('Final Balance Sheet'!D16,"*")</f>
        <v>Other Current Liabilities*</v>
      </c>
      <c r="D39" s="600">
        <f>'Final Balance Sheet'!G16</f>
        <v>0</v>
      </c>
      <c r="E39" s="600">
        <f>'Final Balance Sheet'!G16</f>
        <v>0</v>
      </c>
    </row>
    <row r="40" spans="2:5" x14ac:dyDescent="0.2">
      <c r="B40" s="57" t="s">
        <v>165</v>
      </c>
      <c r="D40" s="600">
        <f>SUM(D33:D39)</f>
        <v>0</v>
      </c>
      <c r="E40" s="600">
        <f>SUM(E33:E39)</f>
        <v>0</v>
      </c>
    </row>
    <row r="42" spans="2:5" x14ac:dyDescent="0.2">
      <c r="B42" s="57" t="s">
        <v>388</v>
      </c>
    </row>
    <row r="43" spans="2:5" x14ac:dyDescent="0.2">
      <c r="C43" t="str">
        <f>CONCATENATE('Final Balance Sheet'!D20)</f>
        <v>Equipment Loans</v>
      </c>
      <c r="D43" s="600">
        <f>'Final Balance Sheet'!G20</f>
        <v>0</v>
      </c>
      <c r="E43" s="600">
        <f>LoanEquipmentEntryProjected+LoanProjSumAgBusRem+LoanProjSumDMBusRem</f>
        <v>0</v>
      </c>
    </row>
    <row r="44" spans="2:5" x14ac:dyDescent="0.2">
      <c r="C44" t="str">
        <f>CONCATENATE('Final Balance Sheet'!D21)</f>
        <v>Livestock Loans</v>
      </c>
      <c r="D44" s="600">
        <f>'Final Balance Sheet'!G21</f>
        <v>0</v>
      </c>
      <c r="E44" s="600">
        <f>LoanLivestockEntryProjected</f>
        <v>0</v>
      </c>
    </row>
    <row r="45" spans="2:5" x14ac:dyDescent="0.2">
      <c r="C45" t="str">
        <f>CONCATENATE('Final Balance Sheet'!D22)</f>
        <v>Business Vehicle Loans</v>
      </c>
      <c r="D45" s="600">
        <f>'Final Balance Sheet'!G22</f>
        <v>0</v>
      </c>
      <c r="E45" s="600">
        <f>LoanBVehEntryProjected</f>
        <v>0</v>
      </c>
    </row>
    <row r="46" spans="2:5" x14ac:dyDescent="0.2">
      <c r="B46" s="57" t="s">
        <v>390</v>
      </c>
      <c r="D46" s="600">
        <f>SUM(D43:D45)</f>
        <v>0</v>
      </c>
      <c r="E46" s="600">
        <f>SUM(E43:E45)</f>
        <v>0</v>
      </c>
    </row>
    <row r="47" spans="2:5" x14ac:dyDescent="0.2">
      <c r="B47" s="57"/>
    </row>
    <row r="48" spans="2:5" x14ac:dyDescent="0.2">
      <c r="B48" s="57" t="s">
        <v>392</v>
      </c>
      <c r="D48" s="600" t="str">
        <f>CONCATENATE('Final Balance Sheet'!D25)</f>
        <v/>
      </c>
    </row>
    <row r="49" spans="2:5" x14ac:dyDescent="0.2">
      <c r="C49" t="str">
        <f>CONCATENATE('Final Balance Sheet'!D26)</f>
        <v>Business Real Estate Loans</v>
      </c>
      <c r="D49" s="600">
        <f>'Final Balance Sheet'!G26</f>
        <v>0</v>
      </c>
      <c r="E49" s="600">
        <f>LoanREEntryProjected</f>
        <v>0</v>
      </c>
    </row>
    <row r="50" spans="2:5" x14ac:dyDescent="0.2">
      <c r="C50" t="str">
        <f>CONCATENATE('Final Balance Sheet'!D27)</f>
        <v>Business Buildings Loans</v>
      </c>
      <c r="D50" s="600">
        <f>'Final Balance Sheet'!G27</f>
        <v>0</v>
      </c>
      <c r="E50" s="600">
        <f>LoanBuildEntryProjected</f>
        <v>0</v>
      </c>
    </row>
    <row r="51" spans="2:5" x14ac:dyDescent="0.2">
      <c r="C51" t="str">
        <f>CONCATENATE('Final Balance Sheet'!D28,"*")</f>
        <v>Other Business Loans*</v>
      </c>
      <c r="D51" s="600">
        <f>'Final Balance Sheet'!G28</f>
        <v>0</v>
      </c>
      <c r="E51" s="600">
        <f>LoanOthBizEntryProjected</f>
        <v>0</v>
      </c>
    </row>
    <row r="52" spans="2:5" x14ac:dyDescent="0.2">
      <c r="C52" t="str">
        <f>CONCATENATE('Final Balance Sheet'!D29,"*")</f>
        <v>Other Non-Current Liabilities*</v>
      </c>
      <c r="D52" s="600">
        <f>'Final Balance Sheet'!G29</f>
        <v>0</v>
      </c>
      <c r="E52" s="600">
        <f>'Final Balance Sheet'!G29</f>
        <v>0</v>
      </c>
    </row>
    <row r="53" spans="2:5" x14ac:dyDescent="0.2">
      <c r="B53" s="57" t="s">
        <v>394</v>
      </c>
      <c r="C53" s="57"/>
      <c r="D53" s="600">
        <f>SUM(D49:D52)</f>
        <v>0</v>
      </c>
      <c r="E53" s="600">
        <f>SUM(E49:E52)</f>
        <v>0</v>
      </c>
    </row>
    <row r="55" spans="2:5" x14ac:dyDescent="0.2">
      <c r="B55" s="57" t="s">
        <v>398</v>
      </c>
      <c r="D55" s="600">
        <f>D40+D46+D53</f>
        <v>0</v>
      </c>
      <c r="E55" s="600">
        <f>E40+E46+E53</f>
        <v>0</v>
      </c>
    </row>
    <row r="57" spans="2:5" x14ac:dyDescent="0.2">
      <c r="B57" s="57" t="s">
        <v>410</v>
      </c>
      <c r="D57" s="600">
        <f>D29-D55</f>
        <v>0</v>
      </c>
      <c r="E57" s="600">
        <f>E29-E55</f>
        <v>0</v>
      </c>
    </row>
    <row r="59" spans="2:5" x14ac:dyDescent="0.2">
      <c r="B59" s="57" t="s">
        <v>399</v>
      </c>
    </row>
    <row r="60" spans="2:5" x14ac:dyDescent="0.2">
      <c r="C60" t="str">
        <f>CONCATENATE('Final Balance Sheet'!B47,"*")</f>
        <v>Cash in Personal Accounts*</v>
      </c>
      <c r="D60" s="600">
        <f>'Final Balance Sheet'!C47</f>
        <v>0</v>
      </c>
      <c r="E60" s="600">
        <f>'Final Balance Sheet'!C47</f>
        <v>0</v>
      </c>
    </row>
    <row r="61" spans="2:5" x14ac:dyDescent="0.2">
      <c r="C61" t="str">
        <f>CONCATENATE('Final Balance Sheet'!B48,"*")</f>
        <v>Stocks &amp; Bonds*</v>
      </c>
      <c r="D61" s="600">
        <f>'Final Balance Sheet'!C48</f>
        <v>0</v>
      </c>
      <c r="E61" s="600">
        <f>'Final Balance Sheet'!C48</f>
        <v>0</v>
      </c>
    </row>
    <row r="62" spans="2:5" x14ac:dyDescent="0.2">
      <c r="C62" t="str">
        <f>CONCATENATE('Final Balance Sheet'!B49,"*")</f>
        <v>Loans Receivable (personal loans)*</v>
      </c>
      <c r="D62" s="600">
        <f>'Final Balance Sheet'!C49</f>
        <v>0</v>
      </c>
      <c r="E62" s="600">
        <f>'Final Balance Sheet'!C49</f>
        <v>0</v>
      </c>
    </row>
    <row r="63" spans="2:5" x14ac:dyDescent="0.2">
      <c r="C63" t="str">
        <f>CONCATENATE('Final Balance Sheet'!B50,"*")</f>
        <v>Personal Property*</v>
      </c>
      <c r="D63" s="600">
        <f>'Final Balance Sheet'!C50</f>
        <v>0</v>
      </c>
      <c r="E63" s="600">
        <f>'Final Balance Sheet'!C50+MCFPPersCapPurchTot</f>
        <v>0</v>
      </c>
    </row>
    <row r="64" spans="2:5" x14ac:dyDescent="0.2">
      <c r="C64" t="str">
        <f>CONCATENATE('Final Balance Sheet'!B51,"*")</f>
        <v>Personal Vehicles*</v>
      </c>
      <c r="D64" s="600">
        <f>'Final Balance Sheet'!C51</f>
        <v>0</v>
      </c>
      <c r="E64" s="600">
        <f>'Final Balance Sheet'!C51+MCFPPersVehPurchTot</f>
        <v>0</v>
      </c>
    </row>
    <row r="65" spans="2:5" x14ac:dyDescent="0.2">
      <c r="C65" t="str">
        <f>CONCATENATE('Final Balance Sheet'!B52,"*")</f>
        <v>Cash Value of Life Insurance Policies*</v>
      </c>
      <c r="D65" s="600">
        <f>'Final Balance Sheet'!C52</f>
        <v>0</v>
      </c>
      <c r="E65" s="600">
        <f>'Final Balance Sheet'!C52</f>
        <v>0</v>
      </c>
    </row>
    <row r="66" spans="2:5" x14ac:dyDescent="0.2">
      <c r="C66" t="str">
        <f>CONCATENATE('Final Balance Sheet'!B53,"*")</f>
        <v>Personal Real Estate*</v>
      </c>
      <c r="D66" s="600">
        <f>'Final Balance Sheet'!C53</f>
        <v>0</v>
      </c>
      <c r="E66" s="600">
        <f>'Final Balance Sheet'!C53</f>
        <v>0</v>
      </c>
    </row>
    <row r="67" spans="2:5" x14ac:dyDescent="0.2">
      <c r="C67" t="str">
        <f>CONCATENATE('Final Balance Sheet'!B54,"*")</f>
        <v>Retirement Accounts*</v>
      </c>
      <c r="D67" s="600">
        <f>'Final Balance Sheet'!C54</f>
        <v>0</v>
      </c>
      <c r="E67" s="600">
        <f>'Final Balance Sheet'!C54+MCFPPersRetirementTot</f>
        <v>0</v>
      </c>
    </row>
    <row r="68" spans="2:5" x14ac:dyDescent="0.2">
      <c r="C68" t="str">
        <f>CONCATENATE('Final Balance Sheet'!B55,"*")</f>
        <v>Other Personal Assets*</v>
      </c>
      <c r="D68" s="600">
        <f>'Final Balance Sheet'!C55</f>
        <v>0</v>
      </c>
      <c r="E68" s="600">
        <f>'Final Balance Sheet'!C55+MCFPOthPurchTot</f>
        <v>0</v>
      </c>
    </row>
    <row r="69" spans="2:5" x14ac:dyDescent="0.2">
      <c r="B69" s="57" t="s">
        <v>400</v>
      </c>
      <c r="D69" s="600">
        <f>SUM(D60:D68)</f>
        <v>0</v>
      </c>
      <c r="E69" s="600">
        <f>SUM(E60:E68)</f>
        <v>0</v>
      </c>
    </row>
    <row r="71" spans="2:5" x14ac:dyDescent="0.2">
      <c r="B71" s="57" t="s">
        <v>401</v>
      </c>
    </row>
    <row r="72" spans="2:5" x14ac:dyDescent="0.2">
      <c r="C72" t="str">
        <f>CONCATENATE('Final Balance Sheet'!D47,"*")</f>
        <v>Personal Accounts Payable*</v>
      </c>
      <c r="D72" s="600">
        <f>'Final Balance Sheet'!G47</f>
        <v>0</v>
      </c>
      <c r="E72" s="600">
        <f>'Final Balance Sheet'!G47</f>
        <v>0</v>
      </c>
    </row>
    <row r="73" spans="2:5" x14ac:dyDescent="0.2">
      <c r="C73" t="str">
        <f>CONCATENATE('Final Balance Sheet'!D48,"*")</f>
        <v xml:space="preserve"> Loans*</v>
      </c>
      <c r="D73" s="600">
        <f>'Final Balance Sheet'!G48</f>
        <v>0</v>
      </c>
      <c r="E73" s="600">
        <f>LoanPersEntryProjected+LoanPersEntryCurrentProjected+LoanProjSumPersCurr+LoanProjSumPersRem</f>
        <v>0</v>
      </c>
    </row>
    <row r="74" spans="2:5" x14ac:dyDescent="0.2">
      <c r="C74" t="str">
        <f>CONCATENATE('Final Balance Sheet'!D49,"*")</f>
        <v>Personal Credit Card Debt*</v>
      </c>
      <c r="D74" s="600">
        <f>'Final Balance Sheet'!G49</f>
        <v>0</v>
      </c>
      <c r="E74" s="600">
        <f>'Final Balance Sheet'!G49</f>
        <v>0</v>
      </c>
    </row>
    <row r="75" spans="2:5" x14ac:dyDescent="0.2">
      <c r="C75" t="str">
        <f>CONCATENATE('Final Balance Sheet'!D50,"*")</f>
        <v>Personal Taxes Payable*</v>
      </c>
      <c r="D75" s="600">
        <f>'Final Balance Sheet'!G50</f>
        <v>0</v>
      </c>
      <c r="E75" s="600">
        <f>'Final Balance Sheet'!G50</f>
        <v>0</v>
      </c>
    </row>
    <row r="76" spans="2:5" x14ac:dyDescent="0.2">
      <c r="C76" t="str">
        <f>CONCATENATE('Final Balance Sheet'!D51,"*")</f>
        <v xml:space="preserve"> Real Estate Loans*</v>
      </c>
      <c r="D76" s="600">
        <f>'Final Balance Sheet'!G51</f>
        <v>0</v>
      </c>
      <c r="E76" s="600">
        <f>LoanPersREEntryProjected+LoanPersREEntryCurrentProjected+LoanProjSumPersRECurr+LoanProjSumPersRERem</f>
        <v>0</v>
      </c>
    </row>
    <row r="77" spans="2:5" x14ac:dyDescent="0.2">
      <c r="C77" t="str">
        <f>CONCATENATE('Final Balance Sheet'!D52,"*")</f>
        <v>Other Personal Liabilities*</v>
      </c>
      <c r="D77" s="600">
        <f>'Final Balance Sheet'!G52</f>
        <v>0</v>
      </c>
      <c r="E77" s="600">
        <f>'Final Balance Sheet'!G52</f>
        <v>0</v>
      </c>
    </row>
    <row r="78" spans="2:5" x14ac:dyDescent="0.2">
      <c r="B78" s="57" t="s">
        <v>402</v>
      </c>
      <c r="D78" s="600">
        <f>SUM(D72:D77)</f>
        <v>0</v>
      </c>
      <c r="E78" s="600">
        <f>SUM(E72:E77)</f>
        <v>0</v>
      </c>
    </row>
    <row r="80" spans="2:5" x14ac:dyDescent="0.2">
      <c r="B80" s="57" t="s">
        <v>403</v>
      </c>
      <c r="D80" s="600">
        <f>D69-D78</f>
        <v>0</v>
      </c>
      <c r="E80" s="600">
        <f>E69-E78</f>
        <v>0</v>
      </c>
    </row>
    <row r="82" spans="2:5" x14ac:dyDescent="0.2">
      <c r="B82" s="57" t="s">
        <v>44</v>
      </c>
      <c r="D82" s="600">
        <f>D57+D80</f>
        <v>0</v>
      </c>
      <c r="E82" s="600">
        <f>E57+E80</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64A2"/>
  </sheetPr>
  <dimension ref="A1"/>
  <sheetViews>
    <sheetView showGridLines="0" workbookViewId="0"/>
  </sheetViews>
  <sheetFormatPr defaultRowHeight="12.75" x14ac:dyDescent="0.2"/>
  <sheetData/>
  <sheetProtection algorithmName="SHA-512" hashValue="skooZ0LLxpQUVsnGQeRvWmoZBt2H6+tMiXMGhRJLTeGIWOeLI8eLo055TKNom6xU272fbx5e+OUBzOHaMBP2jA==" saltValue="R4DzXaDBGKBDwIQ7KZLs2g==" spinCount="100000" sheet="1" objects="1" scenarios="1"/>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35521" r:id="rId4" name="Drop Down 1">
              <controlPr locked="0" defaultSize="0" autoLine="0" autoPict="0">
                <anchor moveWithCells="1">
                  <from>
                    <xdr:col>3</xdr:col>
                    <xdr:colOff>104775</xdr:colOff>
                    <xdr:row>0</xdr:row>
                    <xdr:rowOff>152400</xdr:rowOff>
                  </from>
                  <to>
                    <xdr:col>4</xdr:col>
                    <xdr:colOff>561975</xdr:colOff>
                    <xdr:row>4</xdr:row>
                    <xdr:rowOff>57150</xdr:rowOff>
                  </to>
                </anchor>
              </controlPr>
            </control>
          </mc:Choice>
        </mc:AlternateContent>
        <mc:AlternateContent xmlns:mc="http://schemas.openxmlformats.org/markup-compatibility/2006">
          <mc:Choice Requires="x14">
            <control shapeId="235522" r:id="rId5" name="Drop Down 2">
              <controlPr locked="0" defaultSize="0" autoLine="0" autoPict="0">
                <anchor moveWithCells="1">
                  <from>
                    <xdr:col>8</xdr:col>
                    <xdr:colOff>381000</xdr:colOff>
                    <xdr:row>0</xdr:row>
                    <xdr:rowOff>152400</xdr:rowOff>
                  </from>
                  <to>
                    <xdr:col>11</xdr:col>
                    <xdr:colOff>0</xdr:colOff>
                    <xdr:row>4</xdr:row>
                    <xdr:rowOff>57150</xdr:rowOff>
                  </to>
                </anchor>
              </controlPr>
            </control>
          </mc:Choice>
        </mc:AlternateContent>
        <mc:AlternateContent xmlns:mc="http://schemas.openxmlformats.org/markup-compatibility/2006">
          <mc:Choice Requires="x14">
            <control shapeId="235523" r:id="rId6" name="Drop Down 3">
              <controlPr locked="0" defaultSize="0" print="0" autoLine="0" autoPict="0">
                <anchor moveWithCells="1">
                  <from>
                    <xdr:col>13</xdr:col>
                    <xdr:colOff>257175</xdr:colOff>
                    <xdr:row>0</xdr:row>
                    <xdr:rowOff>152400</xdr:rowOff>
                  </from>
                  <to>
                    <xdr:col>16</xdr:col>
                    <xdr:colOff>571500</xdr:colOff>
                    <xdr:row>4</xdr:row>
                    <xdr:rowOff>57150</xdr:rowOff>
                  </to>
                </anchor>
              </controlPr>
            </control>
          </mc:Choice>
        </mc:AlternateContent>
        <mc:AlternateContent xmlns:mc="http://schemas.openxmlformats.org/markup-compatibility/2006">
          <mc:Choice Requires="x14">
            <control shapeId="235524" r:id="rId7" name="Drop Down 4">
              <controlPr locked="0" defaultSize="0" print="0" autoLine="0" autoPict="0">
                <anchor moveWithCells="1">
                  <from>
                    <xdr:col>4</xdr:col>
                    <xdr:colOff>66675</xdr:colOff>
                    <xdr:row>21</xdr:row>
                    <xdr:rowOff>66675</xdr:rowOff>
                  </from>
                  <to>
                    <xdr:col>7</xdr:col>
                    <xdr:colOff>381000</xdr:colOff>
                    <xdr:row>24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11"/>
  </sheetPr>
  <dimension ref="A2:X139"/>
  <sheetViews>
    <sheetView topLeftCell="B37" workbookViewId="0">
      <selection activeCell="G52" sqref="G52"/>
    </sheetView>
  </sheetViews>
  <sheetFormatPr defaultRowHeight="12.75" x14ac:dyDescent="0.2"/>
  <cols>
    <col min="1" max="1" width="17.85546875" customWidth="1"/>
    <col min="4" max="4" width="11.140625" customWidth="1"/>
    <col min="6" max="6" width="38.5703125" bestFit="1" customWidth="1"/>
    <col min="7" max="8" width="38.5703125" customWidth="1"/>
    <col min="9" max="9" width="5.28515625" bestFit="1" customWidth="1"/>
    <col min="10" max="10" width="15.85546875" customWidth="1"/>
    <col min="11" max="11" width="15.5703125" customWidth="1"/>
    <col min="12" max="12" width="12.28515625" customWidth="1"/>
    <col min="13" max="13" width="22.85546875" customWidth="1"/>
    <col min="16" max="16" width="18.7109375" customWidth="1"/>
    <col min="17" max="17" width="14.140625" customWidth="1"/>
    <col min="18" max="18" width="11.7109375" bestFit="1" customWidth="1"/>
    <col min="19" max="19" width="10.140625" customWidth="1"/>
    <col min="20" max="20" width="9.42578125" bestFit="1" customWidth="1"/>
    <col min="21" max="21" width="7.140625" customWidth="1"/>
    <col min="22" max="22" width="10.7109375" customWidth="1"/>
    <col min="23" max="23" width="12" bestFit="1" customWidth="1"/>
    <col min="24" max="24" width="6" bestFit="1" customWidth="1"/>
    <col min="25" max="26" width="2" customWidth="1"/>
    <col min="27" max="35" width="3" customWidth="1"/>
    <col min="36" max="36" width="4" customWidth="1"/>
    <col min="37" max="48" width="5" customWidth="1"/>
    <col min="49" max="55" width="6" customWidth="1"/>
    <col min="56" max="58" width="7" customWidth="1"/>
    <col min="59" max="59" width="10.5703125" bestFit="1" customWidth="1"/>
  </cols>
  <sheetData>
    <row r="2" spans="1:14" x14ac:dyDescent="0.2">
      <c r="N2">
        <v>1</v>
      </c>
    </row>
    <row r="3" spans="1:14" x14ac:dyDescent="0.2">
      <c r="A3" t="s">
        <v>99</v>
      </c>
      <c r="C3" t="s">
        <v>106</v>
      </c>
      <c r="F3" s="57" t="s">
        <v>229</v>
      </c>
      <c r="G3" s="57" t="s">
        <v>230</v>
      </c>
      <c r="H3" s="57"/>
      <c r="I3" s="57"/>
    </row>
    <row r="4" spans="1:14" x14ac:dyDescent="0.2">
      <c r="A4" t="s">
        <v>100</v>
      </c>
      <c r="B4" s="57" t="s">
        <v>186</v>
      </c>
      <c r="C4" s="57" t="s">
        <v>186</v>
      </c>
      <c r="D4">
        <v>1</v>
      </c>
      <c r="E4" t="s">
        <v>5</v>
      </c>
      <c r="F4" t="str">
        <f>CONCATENATE($E$4,$E$5,$E$6,$E$7,$E$8,$E$9,$E$10,$E$11,$E$12,$E$13,$E$14,$E$15)</f>
        <v>JanFebMarAprMayJunJulAugSepOctNovDec</v>
      </c>
      <c r="G4" t="str">
        <f>CONCATENATE($E$4)</f>
        <v>Jan</v>
      </c>
    </row>
    <row r="5" spans="1:14" x14ac:dyDescent="0.2">
      <c r="A5" t="s">
        <v>101</v>
      </c>
      <c r="B5" s="57" t="s">
        <v>273</v>
      </c>
      <c r="C5" s="57" t="s">
        <v>273</v>
      </c>
      <c r="D5">
        <v>2</v>
      </c>
      <c r="E5" t="s">
        <v>6</v>
      </c>
      <c r="F5" t="str">
        <f>CONCATENATE($E$5,$E$6,$E$7,$E$8,$E$9,$E$10,$E$11,$E$12,$E$13,$E$14,$E$15)</f>
        <v>FebMarAprMayJunJulAugSepOctNovDec</v>
      </c>
      <c r="G5" t="str">
        <f>CONCATENATE($E$4,$E$5)</f>
        <v>JanFeb</v>
      </c>
    </row>
    <row r="6" spans="1:14" x14ac:dyDescent="0.2">
      <c r="A6" t="s">
        <v>103</v>
      </c>
      <c r="B6" s="57" t="s">
        <v>188</v>
      </c>
      <c r="C6" s="57" t="s">
        <v>188</v>
      </c>
      <c r="D6">
        <v>3</v>
      </c>
      <c r="E6" t="s">
        <v>7</v>
      </c>
      <c r="F6" t="str">
        <f>CONCATENATE($E$6,$E$7,$E$8,$E$9,$E$10,$E$11,$E$12,$E$13,$E$14,$E$15)</f>
        <v>MarAprMayJunJulAugSepOctNovDec</v>
      </c>
      <c r="G6" t="str">
        <f>CONCATENATE($E$4,$E$5,$E$6)</f>
        <v>JanFebMar</v>
      </c>
      <c r="J6">
        <v>1</v>
      </c>
      <c r="K6" s="57" t="s">
        <v>157</v>
      </c>
    </row>
    <row r="7" spans="1:14" x14ac:dyDescent="0.2">
      <c r="A7" t="s">
        <v>105</v>
      </c>
      <c r="B7" s="57" t="s">
        <v>189</v>
      </c>
      <c r="C7" s="57" t="s">
        <v>189</v>
      </c>
      <c r="D7">
        <v>4</v>
      </c>
      <c r="E7" t="s">
        <v>8</v>
      </c>
      <c r="F7" t="str">
        <f>CONCATENATE($E$7,$E$8,$E$9,$E$10,$E$11,$E$12,$E$13,$E$14,$E$15)</f>
        <v>AprMayJunJulAugSepOctNovDec</v>
      </c>
      <c r="G7" t="str">
        <f>CONCATENATE($E$4,$E$5,$E$6,$E$7)</f>
        <v>JanFebMarApr</v>
      </c>
      <c r="J7">
        <v>2</v>
      </c>
      <c r="K7" s="57" t="s">
        <v>159</v>
      </c>
    </row>
    <row r="8" spans="1:14" x14ac:dyDescent="0.2">
      <c r="B8" s="57" t="s">
        <v>4</v>
      </c>
      <c r="C8" s="57" t="s">
        <v>4</v>
      </c>
      <c r="D8">
        <v>5</v>
      </c>
      <c r="E8" t="s">
        <v>4</v>
      </c>
      <c r="F8" t="str">
        <f>CONCATENATE($E$8,$E$9,$E$10,$E$11,$E$12,$E$13,$E$14,$E$15)</f>
        <v>MayJunJulAugSepOctNovDec</v>
      </c>
      <c r="G8" t="str">
        <f>CONCATENATE($E$4,$E$5,$E$6,$E$7,$E$8)</f>
        <v>JanFebMarAprMay</v>
      </c>
    </row>
    <row r="9" spans="1:14" x14ac:dyDescent="0.2">
      <c r="B9" s="57" t="s">
        <v>190</v>
      </c>
      <c r="C9" s="57" t="s">
        <v>190</v>
      </c>
      <c r="D9">
        <v>6</v>
      </c>
      <c r="E9" t="s">
        <v>9</v>
      </c>
      <c r="F9" t="str">
        <f>CONCATENATE($E$9,$E$10,$E$11,$E$12,$E$13,$E$14,$E$15)</f>
        <v>JunJulAugSepOctNovDec</v>
      </c>
      <c r="G9" t="str">
        <f>CONCATENATE($E$4,$E$5,$E$6,$E$7,$E$8,$E$9)</f>
        <v>JanFebMarAprMayJun</v>
      </c>
    </row>
    <row r="10" spans="1:14" ht="13.5" thickBot="1" x14ac:dyDescent="0.25">
      <c r="B10" s="57" t="s">
        <v>191</v>
      </c>
      <c r="C10" s="57" t="s">
        <v>191</v>
      </c>
      <c r="D10">
        <v>7</v>
      </c>
      <c r="E10" t="s">
        <v>10</v>
      </c>
      <c r="F10" t="str">
        <f>CONCATENATE($E$10,$E$11,$E$12,$E$13,$E$14,$E$15)</f>
        <v>JulAugSepOctNovDec</v>
      </c>
      <c r="G10" t="str">
        <f>CONCATENATE($E$4,$E$5,$E$6,$E$7,$E$8,$E$9,$E$10)</f>
        <v>JanFebMarAprMayJunJul</v>
      </c>
      <c r="K10" s="809" t="s">
        <v>176</v>
      </c>
      <c r="M10" s="438" t="s">
        <v>214</v>
      </c>
    </row>
    <row r="11" spans="1:14" ht="13.5" thickTop="1" x14ac:dyDescent="0.2">
      <c r="B11" s="57" t="s">
        <v>192</v>
      </c>
      <c r="C11" s="57" t="s">
        <v>192</v>
      </c>
      <c r="D11">
        <v>8</v>
      </c>
      <c r="E11" t="s">
        <v>11</v>
      </c>
      <c r="F11" t="str">
        <f>CONCATENATE($E$11,$E$12,$E$13,$E$14,$E$15)</f>
        <v>AugSepOctNovDec</v>
      </c>
      <c r="G11" t="str">
        <f>CONCATENATE($E$4,$E$5,$E$6,$E$7,$E$8,$E$9,$E$10,$E$11)</f>
        <v>JanFebMarAprMayJunJulAug</v>
      </c>
      <c r="J11">
        <v>1</v>
      </c>
      <c r="K11" s="440" t="s">
        <v>421</v>
      </c>
      <c r="M11" s="440" t="s">
        <v>421</v>
      </c>
    </row>
    <row r="12" spans="1:14" x14ac:dyDescent="0.2">
      <c r="B12" s="57" t="s">
        <v>193</v>
      </c>
      <c r="C12" s="57" t="s">
        <v>193</v>
      </c>
      <c r="D12">
        <v>9</v>
      </c>
      <c r="E12" t="s">
        <v>12</v>
      </c>
      <c r="F12" t="str">
        <f>CONCATENATE($E$12,$E$13,$E$14,$E$15)</f>
        <v>SepOctNovDec</v>
      </c>
      <c r="G12" t="str">
        <f>CONCATENATE($E$4,$E$5,$E$6,$E$7,$E$8,$E$9,$E$10,$E$11,$E$12)</f>
        <v>JanFebMarAprMayJunJulAugSep</v>
      </c>
      <c r="J12">
        <v>2</v>
      </c>
      <c r="K12" s="804" t="str">
        <f>IF(HowSell="Direct to Processor","","Direct Mkt")</f>
        <v>Direct Mkt</v>
      </c>
      <c r="M12" s="442" t="s">
        <v>177</v>
      </c>
    </row>
    <row r="13" spans="1:14" x14ac:dyDescent="0.2">
      <c r="B13" s="57" t="s">
        <v>194</v>
      </c>
      <c r="C13" s="57" t="s">
        <v>194</v>
      </c>
      <c r="D13">
        <v>10</v>
      </c>
      <c r="E13" t="s">
        <v>13</v>
      </c>
      <c r="F13" t="str">
        <f>CONCATENATE($E$13,$E$14,$E$15)</f>
        <v>OctNovDec</v>
      </c>
      <c r="G13" t="str">
        <f>CONCATENATE($E$4,$E$5,$E$6,$E$7,$E$8,$E$9,$E$10,$E$11,$E$12,$E$13)</f>
        <v>JanFebMarAprMayJunJulAugSepOct</v>
      </c>
      <c r="M13" s="444" t="s">
        <v>422</v>
      </c>
    </row>
    <row r="14" spans="1:14" x14ac:dyDescent="0.2">
      <c r="B14" s="57" t="s">
        <v>195</v>
      </c>
      <c r="C14" s="57" t="s">
        <v>195</v>
      </c>
      <c r="D14">
        <v>11</v>
      </c>
      <c r="E14" t="s">
        <v>14</v>
      </c>
      <c r="F14" t="str">
        <f>CONCATENATE($E$14,$E$15)</f>
        <v>NovDec</v>
      </c>
      <c r="G14" t="str">
        <f>CONCATENATE($E$4,$E$5,$E$6,$E$7,$E$8,$E$9,$E$10,$E$11,$E$12,$E$13,$E$14)</f>
        <v>JanFebMarAprMayJunJulAugSepOctNov</v>
      </c>
      <c r="M14" s="442" t="s">
        <v>215</v>
      </c>
    </row>
    <row r="15" spans="1:14" x14ac:dyDescent="0.2">
      <c r="B15" s="57" t="s">
        <v>196</v>
      </c>
      <c r="C15" s="57" t="s">
        <v>196</v>
      </c>
      <c r="D15">
        <v>12</v>
      </c>
      <c r="E15" t="s">
        <v>15</v>
      </c>
      <c r="F15" t="str">
        <f>CONCATENATE($E$15)</f>
        <v>Dec</v>
      </c>
      <c r="G15" t="str">
        <f>CONCATENATE($E$4,$E$5,$E$6,$E$7,$E$8,$E$9,$E$10,$E$11,$E$12,$E$13,$E$14,$E$15)</f>
        <v>JanFebMarAprMayJunJulAugSepOctNovDec</v>
      </c>
      <c r="M15" s="444" t="s">
        <v>178</v>
      </c>
    </row>
    <row r="16" spans="1:14" x14ac:dyDescent="0.2">
      <c r="M16" s="442" t="s">
        <v>237</v>
      </c>
    </row>
    <row r="17" spans="1:11" ht="13.5" thickBot="1" x14ac:dyDescent="0.25">
      <c r="A17" s="438" t="s">
        <v>119</v>
      </c>
      <c r="B17" s="439" t="s">
        <v>126</v>
      </c>
      <c r="C17" s="439" t="s">
        <v>158</v>
      </c>
      <c r="D17" s="438" t="s">
        <v>517</v>
      </c>
    </row>
    <row r="18" spans="1:11" ht="13.5" thickTop="1" x14ac:dyDescent="0.2">
      <c r="A18" s="440" t="s">
        <v>117</v>
      </c>
      <c r="B18" s="441">
        <v>1</v>
      </c>
      <c r="C18" s="441" t="s">
        <v>375</v>
      </c>
      <c r="D18" s="440" t="s">
        <v>518</v>
      </c>
    </row>
    <row r="19" spans="1:11" x14ac:dyDescent="0.2">
      <c r="A19" s="442" t="s">
        <v>118</v>
      </c>
      <c r="B19" s="443">
        <v>2</v>
      </c>
      <c r="C19" s="443" t="s">
        <v>118</v>
      </c>
      <c r="D19" s="442" t="str">
        <f>IF(HowSell="Direct to Processor","","Just direct marketing")</f>
        <v>Just direct marketing</v>
      </c>
    </row>
    <row r="20" spans="1:11" x14ac:dyDescent="0.2">
      <c r="A20" s="442" t="s">
        <v>376</v>
      </c>
      <c r="B20" s="443">
        <v>3</v>
      </c>
      <c r="C20" s="443" t="s">
        <v>376</v>
      </c>
      <c r="D20" s="444" t="str">
        <f>IF(HowSell="Direct to Processor","","Both / Either")</f>
        <v>Both / Either</v>
      </c>
    </row>
    <row r="21" spans="1:11" x14ac:dyDescent="0.2">
      <c r="A21" s="444"/>
      <c r="B21" s="437">
        <v>3</v>
      </c>
      <c r="C21" s="443"/>
    </row>
    <row r="25" spans="1:11" ht="10.5" customHeight="1" thickBot="1" x14ac:dyDescent="0.25">
      <c r="B25">
        <v>1</v>
      </c>
      <c r="C25" s="57" t="s">
        <v>105</v>
      </c>
      <c r="J25" s="809" t="s">
        <v>200</v>
      </c>
      <c r="K25" s="768" t="s">
        <v>437</v>
      </c>
    </row>
    <row r="26" spans="1:11" ht="10.5" customHeight="1" thickTop="1" x14ac:dyDescent="0.2">
      <c r="B26">
        <v>2</v>
      </c>
      <c r="C26" s="57" t="s">
        <v>100</v>
      </c>
      <c r="J26" s="805" t="s">
        <v>5</v>
      </c>
      <c r="K26" s="771">
        <v>12</v>
      </c>
    </row>
    <row r="27" spans="1:11" x14ac:dyDescent="0.2">
      <c r="J27" s="804" t="s">
        <v>6</v>
      </c>
      <c r="K27" s="765">
        <v>11</v>
      </c>
    </row>
    <row r="28" spans="1:11" x14ac:dyDescent="0.2">
      <c r="D28" t="e">
        <f>IF(ProjTime="Annual","AnnualIcon","MonthlyIcon1")</f>
        <v>#REF!</v>
      </c>
      <c r="J28" s="806" t="s">
        <v>7</v>
      </c>
      <c r="K28" s="764">
        <v>10</v>
      </c>
    </row>
    <row r="29" spans="1:11" x14ac:dyDescent="0.2">
      <c r="J29" s="804" t="s">
        <v>8</v>
      </c>
      <c r="K29" s="765">
        <v>9</v>
      </c>
    </row>
    <row r="30" spans="1:11" x14ac:dyDescent="0.2">
      <c r="J30" s="806" t="s">
        <v>4</v>
      </c>
      <c r="K30" s="764">
        <v>8</v>
      </c>
    </row>
    <row r="31" spans="1:11" ht="13.5" thickBot="1" x14ac:dyDescent="0.25">
      <c r="A31" s="438" t="s">
        <v>345</v>
      </c>
      <c r="B31" s="439" t="s">
        <v>126</v>
      </c>
      <c r="C31" s="439" t="s">
        <v>158</v>
      </c>
      <c r="J31" s="804" t="s">
        <v>9</v>
      </c>
      <c r="K31" s="765">
        <v>7</v>
      </c>
    </row>
    <row r="32" spans="1:11" ht="13.5" thickTop="1" x14ac:dyDescent="0.2">
      <c r="A32" s="805">
        <f>Year1</f>
        <v>2016</v>
      </c>
      <c r="B32" s="771">
        <v>1</v>
      </c>
      <c r="C32" s="771">
        <f>Inputs!$A32</f>
        <v>2016</v>
      </c>
      <c r="J32" s="806" t="s">
        <v>10</v>
      </c>
      <c r="K32" s="764">
        <v>6</v>
      </c>
    </row>
    <row r="33" spans="1:21" x14ac:dyDescent="0.2">
      <c r="A33" s="804" t="str">
        <f>Year2</f>
        <v>2017 Projected</v>
      </c>
      <c r="B33" s="765">
        <v>2</v>
      </c>
      <c r="C33" s="765" t="str">
        <f>Inputs!$A33</f>
        <v>2017 Projected</v>
      </c>
      <c r="J33" s="804" t="s">
        <v>11</v>
      </c>
      <c r="K33" s="765">
        <v>5</v>
      </c>
    </row>
    <row r="34" spans="1:21" x14ac:dyDescent="0.2">
      <c r="J34" s="806" t="s">
        <v>12</v>
      </c>
      <c r="K34" s="764">
        <v>4</v>
      </c>
    </row>
    <row r="35" spans="1:21" x14ac:dyDescent="0.2">
      <c r="J35" s="804" t="s">
        <v>13</v>
      </c>
      <c r="K35" s="765">
        <v>3</v>
      </c>
    </row>
    <row r="36" spans="1:21" x14ac:dyDescent="0.2">
      <c r="J36" s="806" t="s">
        <v>14</v>
      </c>
      <c r="K36" s="764">
        <v>2</v>
      </c>
    </row>
    <row r="37" spans="1:21" x14ac:dyDescent="0.2">
      <c r="A37" s="57">
        <v>1</v>
      </c>
      <c r="J37" s="804" t="s">
        <v>15</v>
      </c>
      <c r="K37" s="765">
        <v>1</v>
      </c>
    </row>
    <row r="38" spans="1:21" x14ac:dyDescent="0.2">
      <c r="A38">
        <v>2</v>
      </c>
    </row>
    <row r="39" spans="1:21" x14ac:dyDescent="0.2">
      <c r="A39">
        <v>3</v>
      </c>
    </row>
    <row r="40" spans="1:21" x14ac:dyDescent="0.2">
      <c r="A40">
        <v>4</v>
      </c>
    </row>
    <row r="41" spans="1:21" x14ac:dyDescent="0.2">
      <c r="A41">
        <v>5</v>
      </c>
    </row>
    <row r="42" spans="1:21" ht="13.5" thickBot="1" x14ac:dyDescent="0.25">
      <c r="A42">
        <v>6</v>
      </c>
      <c r="J42" s="766" t="s">
        <v>477</v>
      </c>
      <c r="K42" s="767" t="s">
        <v>478</v>
      </c>
      <c r="L42" s="768" t="s">
        <v>356</v>
      </c>
      <c r="M42" s="439" t="s">
        <v>482</v>
      </c>
      <c r="N42" s="439" t="s">
        <v>355</v>
      </c>
      <c r="O42" s="439" t="s">
        <v>351</v>
      </c>
      <c r="P42" s="439" t="s">
        <v>487</v>
      </c>
      <c r="Q42" s="439" t="s">
        <v>502</v>
      </c>
      <c r="R42" s="439" t="s">
        <v>126</v>
      </c>
      <c r="S42" s="439" t="s">
        <v>529</v>
      </c>
      <c r="T42" s="439" t="s">
        <v>523</v>
      </c>
      <c r="U42" s="439" t="s">
        <v>524</v>
      </c>
    </row>
    <row r="43" spans="1:21" ht="77.25" thickTop="1" x14ac:dyDescent="0.2">
      <c r="J43" s="769" t="s">
        <v>79</v>
      </c>
      <c r="K43" s="770">
        <f>IF(Inputs!$Q43="No",IF(RatioCurrentGraph&gt;Inputs!$N43,Inputs!$N43,IF(RatioCurrentGraph&lt;Inputs!$O43,Inputs!$O43,RatioCurrentGraph)),IF(RatioCurrentGraph&lt;Inputs!$N43,Inputs!$N43,IF(RatioCurrentGraph&gt;Inputs!$O43,Inputs!$O43,RatioCurrentGraph)))</f>
        <v>0</v>
      </c>
      <c r="L43" s="771" t="str">
        <f>RatioCurrentLabel</f>
        <v>0:1</v>
      </c>
      <c r="M43" s="772" t="s">
        <v>488</v>
      </c>
      <c r="N43" s="771">
        <v>2.7</v>
      </c>
      <c r="O43" s="771">
        <v>0</v>
      </c>
      <c r="P43" s="771">
        <f>0.05*Inputs!$K43</f>
        <v>0</v>
      </c>
      <c r="Q43" s="441" t="s">
        <v>473</v>
      </c>
      <c r="R43" s="441">
        <f>RatioCurrentGraph</f>
        <v>0</v>
      </c>
      <c r="S43" s="773">
        <v>1.65</v>
      </c>
      <c r="T43" s="773">
        <f>SliderCurrentGraph</f>
        <v>-0.7</v>
      </c>
      <c r="U43" s="771">
        <v>180</v>
      </c>
    </row>
    <row r="44" spans="1:21" ht="13.5" thickBot="1" x14ac:dyDescent="0.25">
      <c r="F44" s="809" t="s">
        <v>126</v>
      </c>
      <c r="G44" s="810" t="s">
        <v>158</v>
      </c>
      <c r="H44" s="817"/>
      <c r="J44" s="774" t="s">
        <v>374</v>
      </c>
      <c r="K44" s="775">
        <f>IF(Inputs!$Q44="No",IF(RatioWCGRGraph&gt;Inputs!$N44,Inputs!$N44,IF(RatioWCGRGraph&lt;Inputs!$O44,Inputs!$O44,RatioWCGRGraph)),IF(RatioWCGRGraph&lt;Inputs!$N44,Inputs!$N44,IF(RatioWCGRGraph&gt;Inputs!$O44,Inputs!$O44,RatioWCGRGraph)))</f>
        <v>0</v>
      </c>
      <c r="L44" s="776">
        <f>RatioWCGRLabel</f>
        <v>0</v>
      </c>
      <c r="M44" s="777" t="s">
        <v>489</v>
      </c>
      <c r="N44" s="778">
        <v>0.45</v>
      </c>
      <c r="O44" s="778">
        <v>0</v>
      </c>
      <c r="P44" s="765">
        <f>0.05*Inputs!$K44</f>
        <v>0</v>
      </c>
      <c r="Q44" s="443" t="s">
        <v>503</v>
      </c>
      <c r="R44" s="775">
        <f>RatioWCGRGraph</f>
        <v>0</v>
      </c>
      <c r="S44" s="779">
        <v>0.2</v>
      </c>
      <c r="T44" s="780">
        <f>SliderWCGRGraph</f>
        <v>0</v>
      </c>
      <c r="U44" s="765">
        <v>180</v>
      </c>
    </row>
    <row r="45" spans="1:21" ht="13.5" thickTop="1" x14ac:dyDescent="0.2">
      <c r="F45" s="805" t="str">
        <f>'Final Income and Cash Flows'!B30</f>
        <v>Total Ag Income</v>
      </c>
      <c r="G45" s="811">
        <f>IF(ScorecardGraphsChoice=Year1,'Final Income and Cash Flows'!C30,'Final Income and Cash Flows'!D30)</f>
        <v>0</v>
      </c>
      <c r="H45" s="818"/>
      <c r="J45" s="781" t="s">
        <v>359</v>
      </c>
      <c r="K45" s="782">
        <f>IF(Inputs!$Q45="No",IF(RatioDtoAGraph&gt;Inputs!$N45,Inputs!$N45,IF(RatioDtoAGraph&lt;Inputs!$O45,Inputs!$O45,RatioDtoAGraph)),IF(RatioDtoAGraph&lt;Inputs!$N45,Inputs!$N45,IF(RatioDtoAGraph&gt;Inputs!$O45,Inputs!$O45,RatioDtoAGraph)))</f>
        <v>0.15</v>
      </c>
      <c r="L45" s="783">
        <f>RatioDtoALabel</f>
        <v>0</v>
      </c>
      <c r="M45" s="784" t="s">
        <v>491</v>
      </c>
      <c r="N45" s="785">
        <v>0.15</v>
      </c>
      <c r="O45" s="785">
        <v>0.75</v>
      </c>
      <c r="P45" s="764">
        <f>0.05*Inputs!$K45</f>
        <v>7.4999999999999997E-3</v>
      </c>
      <c r="Q45" s="437" t="s">
        <v>383</v>
      </c>
      <c r="R45" s="782">
        <f>RatioDtoAGraph</f>
        <v>0</v>
      </c>
      <c r="S45" s="786">
        <v>0.45</v>
      </c>
      <c r="T45" s="787">
        <f>SliderDtoAGraph</f>
        <v>8.8888888888888893</v>
      </c>
      <c r="U45" s="764">
        <v>180</v>
      </c>
    </row>
    <row r="46" spans="1:21" x14ac:dyDescent="0.2">
      <c r="F46" s="804" t="str">
        <f>'Final Income and Cash Flows'!B60</f>
        <v>Total Ag Variable Expenses</v>
      </c>
      <c r="G46" s="812">
        <f>IF(ScorecardGraphsChoice=Year1,'Final Income and Cash Flows'!C60,'Final Income and Cash Flows'!D60)</f>
        <v>0</v>
      </c>
      <c r="H46" s="818"/>
      <c r="J46" s="788" t="s">
        <v>360</v>
      </c>
      <c r="K46" s="775">
        <f>IF(Inputs!$Q46="No",IF(RatioEtoAGraph&gt;Inputs!$N46,Inputs!$N46,IF(RatioEtoAGraph&lt;Inputs!$O46,Inputs!$O46,RatioEtoAGraph)),IF(RatioEtoAGraph&lt;Inputs!$N46,Inputs!$N46,IF(RatioEtoAGraph&gt;Inputs!$O46,Inputs!$O46,RatioEtoAGraph)))</f>
        <v>0.85</v>
      </c>
      <c r="L46" s="776">
        <f>RatioEtoALabel</f>
        <v>1</v>
      </c>
      <c r="M46" s="777" t="s">
        <v>492</v>
      </c>
      <c r="N46" s="778">
        <v>0.85</v>
      </c>
      <c r="O46" s="778">
        <v>0</v>
      </c>
      <c r="P46" s="765">
        <f>0.05*Inputs!$K46</f>
        <v>4.2500000000000003E-2</v>
      </c>
      <c r="Q46" s="443" t="s">
        <v>503</v>
      </c>
      <c r="R46" s="775">
        <f>RatioEtoAGraph</f>
        <v>0.90909090909090906</v>
      </c>
      <c r="S46" s="789">
        <v>0.55000000000000004</v>
      </c>
      <c r="T46" s="780">
        <f>SliderEtoAGraph</f>
        <v>9.0909090909090899</v>
      </c>
      <c r="U46" s="765">
        <v>280</v>
      </c>
    </row>
    <row r="47" spans="1:21" x14ac:dyDescent="0.2">
      <c r="F47" s="813" t="str">
        <f>'Final Income and Cash Flows'!B72</f>
        <v>Total Ag Fixed Expenses</v>
      </c>
      <c r="G47" s="814">
        <f>IF(ScorecardGraphsChoice=Year1,'Final Income and Cash Flows'!C72,'Final Income and Cash Flows'!D72)</f>
        <v>0</v>
      </c>
      <c r="H47" s="818"/>
      <c r="J47" s="781" t="s">
        <v>82</v>
      </c>
      <c r="K47" s="790">
        <f>IF(Inputs!$Q47="No",IF(RatiDtoEAGraph&gt;Inputs!$N47,Inputs!$N47,IF(RatiDtoEAGraph&lt;Inputs!$O47,Inputs!$O47,RatiDtoEAGraph)),IF(RatiDtoEAGraph&lt;Inputs!$N47,Inputs!$N47,IF(RatiDtoEAGraph&gt;Inputs!$O47,Inputs!$O47,RatiDtoEAGraph)))/(('Financial Scorecard'!J20*2))</f>
        <v>0.1295336787564767</v>
      </c>
      <c r="L47" s="764" t="str">
        <f>RatiDtoEALabel</f>
        <v>0:1</v>
      </c>
      <c r="M47" s="784" t="s">
        <v>490</v>
      </c>
      <c r="N47" s="764">
        <v>0.25</v>
      </c>
      <c r="O47" s="764">
        <v>3</v>
      </c>
      <c r="P47" s="764">
        <f>0.05*Inputs!$K47</f>
        <v>6.4766839378238355E-3</v>
      </c>
      <c r="Q47" s="437" t="s">
        <v>383</v>
      </c>
      <c r="R47" s="790">
        <f>RatiDtoEAGraph</f>
        <v>0</v>
      </c>
      <c r="S47" s="791">
        <v>0.96499999999999997</v>
      </c>
      <c r="T47" s="787">
        <f>SliderDtoEAGraph</f>
        <v>9.65</v>
      </c>
      <c r="U47" s="764">
        <v>360</v>
      </c>
    </row>
    <row r="48" spans="1:21" x14ac:dyDescent="0.2">
      <c r="F48" s="804" t="str">
        <f>IF(HowSell="Direct to Processor","",'Final Income and Cash Flows'!B116)</f>
        <v>Total Direct Marketing Income</v>
      </c>
      <c r="G48" s="812">
        <f>IF(HowSell="Direct to Processor","",IF(ScorecardGraphsChoice=Year1,'Final Income and Cash Flows'!C116,'Final Income and Cash Flows'!D116))</f>
        <v>0</v>
      </c>
      <c r="H48" s="818"/>
      <c r="J48" s="788" t="s">
        <v>362</v>
      </c>
      <c r="K48" s="789">
        <f>IF(Inputs!$Q48="No",IF(RatioROAGraph&gt;Inputs!$N48,Inputs!$N48,IF(RatioROAGraph&lt;Inputs!$O48,Inputs!$O48,RatioROAGraph)),IF(RatioROAGraph&lt;Inputs!$N48,Inputs!$N48,IF(RatioROAGraph&gt;Inputs!$O48,Inputs!$O48,RatioROAGraph)))</f>
        <v>0.01</v>
      </c>
      <c r="L48" s="777">
        <f>RatioROALabel</f>
        <v>0</v>
      </c>
      <c r="M48" s="777" t="s">
        <v>494</v>
      </c>
      <c r="N48" s="792">
        <v>0.12</v>
      </c>
      <c r="O48" s="792">
        <v>0.01</v>
      </c>
      <c r="P48" s="443">
        <f>0.05*Inputs!$K48</f>
        <v>5.0000000000000001E-4</v>
      </c>
      <c r="Q48" s="443" t="s">
        <v>503</v>
      </c>
      <c r="R48" s="789">
        <f>RatioROAGraph</f>
        <v>0</v>
      </c>
      <c r="S48" s="789">
        <v>0.06</v>
      </c>
      <c r="T48" s="793">
        <f>SliderROAGraph</f>
        <v>0</v>
      </c>
      <c r="U48" s="443">
        <v>180</v>
      </c>
    </row>
    <row r="49" spans="4:24" x14ac:dyDescent="0.2">
      <c r="F49" s="806" t="str">
        <f>IF(HowSell="Direct to Processor","",'Final Income and Cash Flows'!B129)</f>
        <v>Total Direct Marketing Variable Expenses</v>
      </c>
      <c r="G49" s="814">
        <f>IF(HowSell="Direct to Processor","",IF(ScorecardGraphsChoice=Year1,'Final Income and Cash Flows'!C129,'Final Income and Cash Flows'!D129))</f>
        <v>0</v>
      </c>
      <c r="H49" s="818"/>
      <c r="J49" s="781" t="s">
        <v>363</v>
      </c>
      <c r="K49" s="791">
        <f>IF(Inputs!$Q49="No",IF(RatioROEGraph&gt;Inputs!$N49,Inputs!$N49,IF(RatioROEGraph&lt;Inputs!$O49,Inputs!$O49,RatioROEGraph)),IF(RatioROEGraph&lt;Inputs!$N49,Inputs!$N49,IF(RatioROEGraph&gt;Inputs!$O49,Inputs!$O49,RatioROEGraph)))</f>
        <v>0.01</v>
      </c>
      <c r="L49" s="784">
        <f>RatioROELabel</f>
        <v>0</v>
      </c>
      <c r="M49" s="784" t="s">
        <v>493</v>
      </c>
      <c r="N49" s="794">
        <v>0.14000000000000001</v>
      </c>
      <c r="O49" s="794">
        <v>0.01</v>
      </c>
      <c r="P49" s="437">
        <f>0.05*Inputs!$K49</f>
        <v>5.0000000000000001E-4</v>
      </c>
      <c r="Q49" s="437" t="s">
        <v>473</v>
      </c>
      <c r="R49" s="791">
        <f>RatioROEGraph</f>
        <v>0</v>
      </c>
      <c r="S49" s="791">
        <v>7.0000000000000007E-2</v>
      </c>
      <c r="T49" s="795">
        <f>SliderROEGraph</f>
        <v>0</v>
      </c>
      <c r="U49" s="437">
        <v>180</v>
      </c>
    </row>
    <row r="50" spans="4:24" ht="30.4" customHeight="1" x14ac:dyDescent="0.2">
      <c r="F50" s="804" t="str">
        <f>IF(HowSell="Direct to Processor","",'Final Income and Cash Flows'!B140)</f>
        <v>Total Direct Marketing Fixed Expenses</v>
      </c>
      <c r="G50" s="812">
        <f>IF(HowSell="Direct to Processor","",IF(ScorecardGraphsChoice=Year1,'Final Income and Cash Flows'!C140,'Final Income and Cash Flows'!D140))</f>
        <v>0</v>
      </c>
      <c r="H50" s="818"/>
      <c r="J50" s="788" t="s">
        <v>364</v>
      </c>
      <c r="K50" s="789">
        <f>IF(Inputs!$Q50="No",IF(RatioOpProfitGraph&gt;Inputs!$N50,Inputs!$N50,IF(RatioOpProfitGraph&lt;Inputs!$O50,Inputs!$O50,RatioOpProfitGraph)),IF(RatioOpProfitGraph&lt;Inputs!$N50,Inputs!$N50,IF(RatioOpProfitGraph&gt;Inputs!$O50,Inputs!$O50,RatioOpProfitGraph)))</f>
        <v>0.05</v>
      </c>
      <c r="L50" s="777">
        <f>RatioOpProfitLabel</f>
        <v>0</v>
      </c>
      <c r="M50" s="796" t="s">
        <v>497</v>
      </c>
      <c r="N50" s="792">
        <v>0.315</v>
      </c>
      <c r="O50" s="792">
        <v>0.05</v>
      </c>
      <c r="P50" s="443">
        <f>0.05*Inputs!$K50</f>
        <v>2.5000000000000005E-3</v>
      </c>
      <c r="Q50" s="443" t="s">
        <v>473</v>
      </c>
      <c r="R50" s="789">
        <f>RatioOpProfitGraph</f>
        <v>0</v>
      </c>
      <c r="S50" s="793">
        <v>0.2</v>
      </c>
      <c r="T50" s="793">
        <f>SliderOpProfitGraph</f>
        <v>0</v>
      </c>
      <c r="U50" s="443">
        <v>400</v>
      </c>
    </row>
    <row r="51" spans="4:24" x14ac:dyDescent="0.2">
      <c r="F51" s="806" t="s">
        <v>533</v>
      </c>
      <c r="G51" s="763">
        <f>IF(HowSell="Direct to Consumer","",IF(ScorecardGraphsChoice=Year1,'Final Income and Cash Flows'!C76,'Final Income and Cash Flows'!D76))</f>
        <v>0</v>
      </c>
      <c r="H51" s="819"/>
      <c r="J51" s="797" t="s">
        <v>366</v>
      </c>
      <c r="K51" s="798">
        <f>IF(Inputs!$Q51="No",IF(RatioTDCProfitGraph&gt;Inputs!$N51,Inputs!$N51,IF(RatioTDCProfitGraph&lt;Inputs!$O51,Inputs!$O51,RatioTDCProfitGraph)),IF(RatioTDCProfitGraph&lt;Inputs!$N51,Inputs!$N51,IF(RatioTDCProfitGraph&gt;Inputs!$O51,Inputs!$O51,RatioTDCProfitGraph)))*IF(RatioTDCProfitGraph&gt;Inputs!$S51,1.05,0.95)</f>
        <v>0.47499999999999998</v>
      </c>
      <c r="L51" s="799" t="str">
        <f>RatioTDCProfitLabel</f>
        <v>0:1</v>
      </c>
      <c r="M51" s="800" t="s">
        <v>495</v>
      </c>
      <c r="N51" s="799">
        <v>2.35</v>
      </c>
      <c r="O51" s="799">
        <v>0.5</v>
      </c>
      <c r="P51" s="799">
        <f>0.05*Inputs!$K51</f>
        <v>2.375E-2</v>
      </c>
      <c r="Q51" s="799" t="s">
        <v>503</v>
      </c>
      <c r="R51" s="798">
        <f>RatioTDCProfitGraph</f>
        <v>0</v>
      </c>
      <c r="S51" s="801">
        <v>1.5</v>
      </c>
      <c r="T51" s="801">
        <f>SliderTDCProfitGraph</f>
        <v>0</v>
      </c>
      <c r="U51" s="799">
        <v>395</v>
      </c>
    </row>
    <row r="52" spans="4:24" x14ac:dyDescent="0.2">
      <c r="D52">
        <v>3</v>
      </c>
      <c r="E52" t="str">
        <f>INDEX(B18:D20,MATCH(D52,B18:B20,0),3)</f>
        <v>Both / Either</v>
      </c>
      <c r="F52" s="804" t="s">
        <v>534</v>
      </c>
      <c r="G52" s="815">
        <f>IF(HowSell="Direct to Processor","",IF(ScorecardGraphsChoice=Year1,'Final Income and Cash Flows'!C144,'Final Income and Cash Flows'!D144))</f>
        <v>0</v>
      </c>
      <c r="H52" s="819"/>
      <c r="J52" s="788" t="s">
        <v>368</v>
      </c>
      <c r="K52" s="789">
        <f>IF(Inputs!$Q52="No",IF(RatioAssetTOProfitGraph&gt;Inputs!$N52,Inputs!$N52,IF(RatioAssetTOProfitGraph&lt;Inputs!$O52,Inputs!$O52,RatioAssetTOProfitGraph)),IF(RatioAssetTOProfitGraph&lt;Inputs!$N52,Inputs!$N52,IF(RatioAssetTOProfitGraph&gt;Inputs!$O52,Inputs!$O52,RatioAssetTOProfitGraph)))</f>
        <v>0</v>
      </c>
      <c r="L52" s="777">
        <f>RatioAssetTOProfitLabel</f>
        <v>0</v>
      </c>
      <c r="M52" s="777" t="s">
        <v>496</v>
      </c>
      <c r="N52" s="792">
        <v>0.625</v>
      </c>
      <c r="O52" s="792">
        <v>0</v>
      </c>
      <c r="P52" s="443">
        <f>0.05*Inputs!$K52</f>
        <v>0</v>
      </c>
      <c r="Q52" s="443" t="s">
        <v>473</v>
      </c>
      <c r="R52" s="789">
        <f>RatioAssetTOProfitGraph</f>
        <v>0</v>
      </c>
      <c r="S52" s="789">
        <v>0.38</v>
      </c>
      <c r="T52" s="793">
        <f>SliderAssetTOProfitGraph</f>
        <v>0</v>
      </c>
      <c r="U52" s="443">
        <v>270</v>
      </c>
    </row>
    <row r="53" spans="4:24" x14ac:dyDescent="0.2">
      <c r="E53" t="str">
        <f>IF(DashboardChoiceIncExpGraph="Just Ag",'Final Income and Cash Flows'!$B$16,IF(DashboardChoiceIncExpGraph="Just Direct Marketing",'Final Income and Cash Flows'!$B$106,"TOTAL INCOME &amp; EXPENSES"))</f>
        <v>TOTAL INCOME &amp; EXPENSES</v>
      </c>
      <c r="F53" s="806" t="s">
        <v>531</v>
      </c>
      <c r="G53" s="763">
        <f>IF(HowSell="Direct to Processor",IF(ScorecardGraphsChoice=Year1,NetIncomeAgYear1,NetIncomeAgYear2),IF(ScorecardGraphsChoice=Year1,NetIncomeAgYear1+NetIncomeDMYear1,NetIncomeAgYear2+NetIncomeDMYear2))</f>
        <v>0</v>
      </c>
      <c r="H53" s="819"/>
      <c r="J53" s="781" t="s">
        <v>369</v>
      </c>
      <c r="K53" s="791">
        <f>IF(Inputs!$Q53="No",IF(RatioOpExGraph&gt;Inputs!$N53,Inputs!$N53,IF(RatioOpExGraph&lt;Inputs!$O53,Inputs!$O53,RatioOpExGraph)),IF(RatioOpExGraph&lt;Inputs!$N53,Inputs!$N53,IF(RatioOpExGraph&gt;Inputs!$O53,Inputs!$O53,RatioOpExGraph)))*IF(RatioOpExGraph&lt;Inputs!$S53,0.725,1)</f>
        <v>0.28999999999999998</v>
      </c>
      <c r="L53" s="784">
        <f>RatioOpExLabel</f>
        <v>0</v>
      </c>
      <c r="M53" s="784" t="s">
        <v>498</v>
      </c>
      <c r="N53" s="794">
        <v>0.4</v>
      </c>
      <c r="O53" s="794">
        <v>1</v>
      </c>
      <c r="P53" s="437">
        <f>0.05*Inputs!$K53</f>
        <v>1.4499999999999999E-2</v>
      </c>
      <c r="Q53" s="437" t="s">
        <v>527</v>
      </c>
      <c r="R53" s="791">
        <f>RatioOpExGraph</f>
        <v>0</v>
      </c>
      <c r="S53" s="791">
        <v>0.7</v>
      </c>
      <c r="T53" s="795">
        <f>SliderOpExGraph</f>
        <v>10</v>
      </c>
      <c r="U53" s="437">
        <f>360*1.8</f>
        <v>648</v>
      </c>
    </row>
    <row r="54" spans="4:24" x14ac:dyDescent="0.2">
      <c r="E54" t="str">
        <f>IF(DashboardChoiceIncExpGraph="Just Ag","Top 10 Ag Expenses",IF(DashboardChoiceIncExpGraph="Just Direct Marketing","Top 10 Direct Marketing Expenses","Top 10 Expenses"))</f>
        <v>Top 10 Expenses</v>
      </c>
      <c r="H54" s="471"/>
      <c r="J54" s="788" t="s">
        <v>371</v>
      </c>
      <c r="K54" s="789">
        <f>IF(ScorecardGraphsChoice=Year1,'Financial Scorecard'!D34,'Financial Scorecard'!E34)</f>
        <v>0</v>
      </c>
      <c r="L54" s="789">
        <f>RatioIntExLabel</f>
        <v>0</v>
      </c>
      <c r="M54" s="777" t="s">
        <v>499</v>
      </c>
      <c r="N54" s="792">
        <v>0.03</v>
      </c>
      <c r="O54" s="792">
        <v>0.15</v>
      </c>
      <c r="P54" s="443">
        <f>0.05*Inputs!$K54</f>
        <v>0</v>
      </c>
      <c r="Q54" s="443" t="s">
        <v>383</v>
      </c>
      <c r="R54" s="789">
        <f>RatioIntExpGraph</f>
        <v>0</v>
      </c>
      <c r="S54" s="789">
        <v>0.08</v>
      </c>
      <c r="T54" s="793">
        <f>SliderIntExpGraph</f>
        <v>10</v>
      </c>
      <c r="U54" s="443">
        <v>180</v>
      </c>
    </row>
    <row r="55" spans="4:24" ht="13.5" thickBot="1" x14ac:dyDescent="0.25">
      <c r="F55" s="438" t="s">
        <v>519</v>
      </c>
      <c r="G55" s="439" t="s">
        <v>75</v>
      </c>
      <c r="H55" s="816"/>
      <c r="I55" s="816"/>
      <c r="J55" s="797" t="s">
        <v>370</v>
      </c>
      <c r="K55" s="802">
        <f>IF(IF(ScorecardGraphsChoice=Year1,'Financial Scorecard'!D35,'Financial Scorecard'!E35)&lt;Inputs!$S55,IF(ScorecardGraphsChoice=Year1,'Financial Scorecard'!D35,'Financial Scorecard'!E35)*0.85,IF(ScorecardGraphsChoice=Year1,'Financial Scorecard'!D35,'Financial Scorecard'!E35)*3.3)</f>
        <v>0</v>
      </c>
      <c r="L55" s="802">
        <f>RatioDepExLabel</f>
        <v>0</v>
      </c>
      <c r="M55" s="800" t="s">
        <v>500</v>
      </c>
      <c r="N55" s="803">
        <v>0.03</v>
      </c>
      <c r="O55" s="803">
        <v>0.15</v>
      </c>
      <c r="P55" s="799">
        <f>0.05*Inputs!$K55</f>
        <v>0</v>
      </c>
      <c r="Q55" s="799" t="s">
        <v>383</v>
      </c>
      <c r="R55" s="802">
        <f>RatioDepExGraph</f>
        <v>0</v>
      </c>
      <c r="S55" s="802">
        <v>0.08</v>
      </c>
      <c r="T55" s="801">
        <f>SliderDepExGraph</f>
        <v>7.1428571428571432</v>
      </c>
      <c r="U55" s="799">
        <v>360</v>
      </c>
    </row>
    <row r="56" spans="4:24" ht="13.5" thickTop="1" x14ac:dyDescent="0.2">
      <c r="F56" s="805" t="str">
        <f>IF(DashboardChoiceIncExpGraph="Just Ag",F45,IF(DashboardChoiceIncExpGraph="Just Direct Marketing",F48,"Total Income"))</f>
        <v>Total Income</v>
      </c>
      <c r="G56" s="771">
        <f>IF(DashboardChoiceIncExpGraph="Just Ag",G45,IF(DashboardChoiceIncExpGraph="Just Direct Marketing",G48,G45+G48))</f>
        <v>0</v>
      </c>
      <c r="H56" s="820"/>
      <c r="I56" s="820"/>
      <c r="J56" s="788" t="s">
        <v>372</v>
      </c>
      <c r="K56" s="789">
        <f>IF(ScorecardGraphsChoice=Year1,'Financial Scorecard'!D36,'Financial Scorecard'!E36)</f>
        <v>0</v>
      </c>
      <c r="L56" s="789">
        <f>RatioNetIncomeLabel</f>
        <v>0</v>
      </c>
      <c r="M56" s="777" t="s">
        <v>501</v>
      </c>
      <c r="N56" s="792">
        <v>0.3</v>
      </c>
      <c r="O56" s="792">
        <v>0</v>
      </c>
      <c r="P56" s="443">
        <f>0.05*Inputs!$K56</f>
        <v>0</v>
      </c>
      <c r="Q56" s="443" t="s">
        <v>473</v>
      </c>
      <c r="R56" s="789">
        <f>RatioNetIncomeGraph</f>
        <v>0</v>
      </c>
      <c r="S56" s="789">
        <v>0.15</v>
      </c>
      <c r="T56" s="793">
        <f>SliderNetIncomeGraph</f>
        <v>0</v>
      </c>
      <c r="U56" s="443">
        <v>180</v>
      </c>
    </row>
    <row r="57" spans="4:24" x14ac:dyDescent="0.2">
      <c r="F57" s="804" t="str">
        <f>IF(DashboardChoiceIncExpGraph="Just Ag",F46,IF(DashboardChoiceIncExpGraph="Just Direct Marketing",F49,"Total Variable Expenses"))</f>
        <v>Total Variable Expenses</v>
      </c>
      <c r="G57" s="765">
        <f>IF(DashboardChoiceIncExpGraph="Just Ag",G46,IF(DashboardChoiceIncExpGraph="Just Direct Marketing",G49,G46+G49))</f>
        <v>0</v>
      </c>
      <c r="H57" s="820"/>
      <c r="I57" s="820"/>
    </row>
    <row r="58" spans="4:24" x14ac:dyDescent="0.2">
      <c r="F58" s="806" t="str">
        <f>IF(DashboardChoiceIncExpGraph="Just Ag",F47,IF(DashboardChoiceIncExpGraph="Just Direct Marketing",F50,"Total Fixed Expenses"))</f>
        <v>Total Fixed Expenses</v>
      </c>
      <c r="G58" s="764">
        <f>IF(DashboardChoiceIncExpGraph="Just Ag",G47,IF(DashboardChoiceIncExpGraph="Just Direct Marketing",G50,G47+G50))</f>
        <v>0</v>
      </c>
      <c r="H58" s="820"/>
      <c r="I58" s="820"/>
    </row>
    <row r="59" spans="4:24" x14ac:dyDescent="0.2">
      <c r="F59" s="804" t="str">
        <f>CONCATENATE("Total ",IF(DashboardChoiceIncExpGraph="Just Ag","Ag",IF(DashboardChoiceIncExpGraph="Just direct marketing","Direct Marketing","Business"))," Net Income")</f>
        <v>Total Business Net Income</v>
      </c>
      <c r="G59" s="807">
        <f>IF(DashboardChoiceIncExpGraph="Just Ag",G51,IF(DashboardChoiceIncExpGraph="Just Direct Marketing",G52,G51+G52))</f>
        <v>0</v>
      </c>
      <c r="H59" s="821"/>
      <c r="I59" s="820" t="s">
        <v>477</v>
      </c>
      <c r="K59" t="s">
        <v>478</v>
      </c>
      <c r="L59" t="s">
        <v>356</v>
      </c>
      <c r="M59" s="57" t="s">
        <v>481</v>
      </c>
      <c r="N59" s="57" t="s">
        <v>482</v>
      </c>
      <c r="O59" s="57" t="s">
        <v>502</v>
      </c>
      <c r="P59" s="57" t="s">
        <v>355</v>
      </c>
      <c r="Q59" s="57" t="s">
        <v>484</v>
      </c>
      <c r="R59" s="57" t="s">
        <v>485</v>
      </c>
      <c r="S59" s="57" t="s">
        <v>486</v>
      </c>
      <c r="T59" s="57" t="s">
        <v>483</v>
      </c>
      <c r="U59" s="57" t="s">
        <v>479</v>
      </c>
      <c r="V59" s="57" t="s">
        <v>480</v>
      </c>
      <c r="W59" s="57" t="s">
        <v>525</v>
      </c>
      <c r="X59" s="57" t="s">
        <v>526</v>
      </c>
    </row>
    <row r="60" spans="4:24" x14ac:dyDescent="0.2">
      <c r="F60" s="806" t="str">
        <f>CONCATENATE("Total ",IF(HowSell="Direct to Processor","Ag","Business")," Net Income")</f>
        <v>Total Business Net Income</v>
      </c>
      <c r="G60" s="808">
        <f>G53</f>
        <v>0</v>
      </c>
      <c r="H60" s="821"/>
      <c r="I60" s="822">
        <v>1</v>
      </c>
      <c r="J60" t="str">
        <f>INDEX(Inputs!$J$43:$J$56,I60)</f>
        <v>Current Ratio</v>
      </c>
      <c r="K60" s="721">
        <f>INDEX(Inputs!$J$43:$U$56,MATCH($J$60,Inputs!$J$43:$J$56,0),2)</f>
        <v>0</v>
      </c>
      <c r="L60" s="700" t="str">
        <f>INDEX(Inputs!$J$43:$U$56,MATCH($J$60,Inputs!$J$43:$J$56,0),3)</f>
        <v>0:1</v>
      </c>
      <c r="M60" t="str">
        <f>CONCATENATE(ScorecardGraphsChoice," - ",Inputs!$J$60)</f>
        <v>2016 - Current Ratio</v>
      </c>
      <c r="N60" t="str">
        <f>INDEX(Inputs!$J$43:$U$56,MATCH($J$60,Inputs!$J$43:$J$56,0),4)</f>
        <v>The Current Ratio measures the extent to which current farm assets, if sold tomorrow, would pay off current farm liabilities.</v>
      </c>
      <c r="O60" t="str">
        <f>INDEX(Inputs!$J$43:$U$56,MATCH($J$60,Inputs!$J$43:$J$56,0),8)</f>
        <v>No</v>
      </c>
      <c r="P60">
        <f>INDEX(Inputs!$J$43:$U$56,MATCH($J$60,Inputs!$J$43:$J$56,0),5)</f>
        <v>2.7</v>
      </c>
      <c r="Q60">
        <f>($P$60-$T$60)/3</f>
        <v>0.45</v>
      </c>
      <c r="R60">
        <f>($P$60-$T$60)/3</f>
        <v>0.45</v>
      </c>
      <c r="S60">
        <f>($P$60-$T$60)/3</f>
        <v>0.45</v>
      </c>
      <c r="T60">
        <f>P60*0.5</f>
        <v>1.35</v>
      </c>
      <c r="U60">
        <f>INDEX(Inputs!$J$43:$U$56,MATCH($J$60,Inputs!$J$43:$J$56,0),7)</f>
        <v>0</v>
      </c>
      <c r="V60" s="701">
        <f>IF(O60="No",IF(SUM(Q60:T60)-SUM(K60,U60)&gt;0,SUM(Q60:T60)-SUM(K60,U60),0),IF(SUM(K60,U60)-SUM(Q60:T60)&gt;0,SUM(K60,U60)-SUM(Q60:T60),0))*(W60/180)</f>
        <v>2.7</v>
      </c>
      <c r="W60">
        <f>INDEX(Inputs!$J$43:$U$56,MATCH($J$60,Inputs!$J$43:$J$56,0),12)</f>
        <v>180</v>
      </c>
      <c r="X60">
        <f>1*(SUM(U60:V60,K60))</f>
        <v>2.7</v>
      </c>
    </row>
    <row r="61" spans="4:24" x14ac:dyDescent="0.2">
      <c r="V61" s="701">
        <f>SUM(Q60:T60)-SUM(K60,U60)</f>
        <v>2.7</v>
      </c>
    </row>
    <row r="62" spans="4:24" x14ac:dyDescent="0.2">
      <c r="F62" t="s">
        <v>532</v>
      </c>
      <c r="W62" s="57" t="s">
        <v>528</v>
      </c>
      <c r="X62" s="699">
        <f>K60/SUM(K60,U60:V60,X60)</f>
        <v>0</v>
      </c>
    </row>
    <row r="63" spans="4:24" x14ac:dyDescent="0.2">
      <c r="W63" s="57" t="s">
        <v>479</v>
      </c>
      <c r="X63" s="699">
        <f>U60/SUM(K60,U60:V60,X60)</f>
        <v>0</v>
      </c>
    </row>
    <row r="64" spans="4:24" x14ac:dyDescent="0.2">
      <c r="W64" s="57" t="s">
        <v>525</v>
      </c>
      <c r="X64" s="699">
        <f>V60/SUM(K60,U60:V60,X60)</f>
        <v>0.5</v>
      </c>
    </row>
    <row r="65" spans="11:24" x14ac:dyDescent="0.2">
      <c r="W65" s="57" t="s">
        <v>526</v>
      </c>
      <c r="X65" s="699">
        <f>X60/SUM(K60,U60:V60,X60)</f>
        <v>0.5</v>
      </c>
    </row>
    <row r="66" spans="11:24" x14ac:dyDescent="0.2">
      <c r="X66" s="701">
        <f>SUM(X62:X65)</f>
        <v>1</v>
      </c>
    </row>
    <row r="70" spans="11:24" x14ac:dyDescent="0.2">
      <c r="K70" s="720" t="s">
        <v>530</v>
      </c>
    </row>
    <row r="82" spans="10:21" x14ac:dyDescent="0.2">
      <c r="K82">
        <f>Year1</f>
        <v>2016</v>
      </c>
      <c r="L82" t="str">
        <f>Year2</f>
        <v>2017 Projected</v>
      </c>
      <c r="M82">
        <f>ScorecardGraphsChoice</f>
        <v>2016</v>
      </c>
    </row>
    <row r="83" spans="10:21" ht="13.5" thickBot="1" x14ac:dyDescent="0.25">
      <c r="J83" s="881" t="s">
        <v>504</v>
      </c>
      <c r="K83" s="882" t="s">
        <v>505</v>
      </c>
      <c r="L83" s="883" t="s">
        <v>506</v>
      </c>
      <c r="M83" s="439" t="s">
        <v>346</v>
      </c>
      <c r="N83" s="884" t="s">
        <v>520</v>
      </c>
      <c r="R83" s="438" t="s">
        <v>520</v>
      </c>
      <c r="S83" s="439" t="s">
        <v>356</v>
      </c>
      <c r="T83" s="439" t="s">
        <v>75</v>
      </c>
      <c r="U83" s="439" t="s">
        <v>126</v>
      </c>
    </row>
    <row r="84" spans="10:21" ht="13.5" thickTop="1" x14ac:dyDescent="0.2">
      <c r="J84" s="885" t="s">
        <v>300</v>
      </c>
      <c r="K84" s="886">
        <f>(ACFFCLandRentTot)</f>
        <v>0</v>
      </c>
      <c r="L84" s="887">
        <f>(MCFFCLandRentTot)</f>
        <v>0</v>
      </c>
      <c r="M84" s="886">
        <f>IF(DashboardChoiceIncExpGraph="Just Direct Marketing",0,IF(ScorecardGraphsChoice=Year1,Inputs!$K84,Inputs!$L84))</f>
        <v>0</v>
      </c>
      <c r="N84" s="888">
        <f>RANK(Inputs!$M84,Inputs!$M$84:$M$139,0)</f>
        <v>1</v>
      </c>
      <c r="O84" s="718"/>
      <c r="R84" s="440">
        <v>1</v>
      </c>
      <c r="S84" s="441" t="str">
        <f>INDEX(Inputs!$J$84:$N$139,MATCH(Inputs!$R84,Inputs!$N$84:$N$139,0),1)</f>
        <v>Land Rent</v>
      </c>
      <c r="T84" s="886">
        <f>INDEX(Inputs!$J$84:$N$139,MATCH(Inputs!$S84,Inputs!$J$84:$J$139,0),4)</f>
        <v>0</v>
      </c>
      <c r="U84" s="913" t="e">
        <f>Inputs!$T84/SUM(Inputs!$M$84:$M$139)</f>
        <v>#DIV/0!</v>
      </c>
    </row>
    <row r="85" spans="10:21" x14ac:dyDescent="0.2">
      <c r="J85" s="889" t="s">
        <v>305</v>
      </c>
      <c r="K85" s="890">
        <f>(ACFVCSeedTot)</f>
        <v>0</v>
      </c>
      <c r="L85" s="891">
        <f>(MCFVCSeedTot)</f>
        <v>0</v>
      </c>
      <c r="M85" s="892">
        <f>IF(DashboardChoiceIncExpGraph="Just Direct Marketing",0,IF(ScorecardGraphsChoice=Year1,Inputs!$K85,Inputs!$L85))</f>
        <v>0</v>
      </c>
      <c r="N85" s="893">
        <f>RANK(Inputs!$M85,Inputs!$M$84:$M$139,0)</f>
        <v>1</v>
      </c>
      <c r="O85" s="718"/>
      <c r="R85" s="442">
        <v>2</v>
      </c>
      <c r="S85" s="443" t="e">
        <f>INDEX(Inputs!$J$84:$N$139,MATCH(Inputs!$R85,Inputs!$N$84:$N$139,0),1)</f>
        <v>#N/A</v>
      </c>
      <c r="T85" s="892" t="e">
        <f>INDEX(Inputs!$J$84:$N$139,MATCH(Inputs!$S85,Inputs!$J$84:$J$139,0),4)</f>
        <v>#N/A</v>
      </c>
      <c r="U85" s="789" t="e">
        <f>Inputs!$T85/SUM(Inputs!$M$84:$M$139)</f>
        <v>#N/A</v>
      </c>
    </row>
    <row r="86" spans="10:21" x14ac:dyDescent="0.2">
      <c r="J86" s="894" t="s">
        <v>411</v>
      </c>
      <c r="K86" s="895">
        <f>(ACFFCDeprEquipTot+ACFFCDeprLivestockTot+ACFFCDeprBuildTot)</f>
        <v>0</v>
      </c>
      <c r="L86" s="896">
        <f>(MCFFCDeprEquipTot+MCFFCDeprLivestockTot+MCFFCDeprBuildTot)</f>
        <v>0</v>
      </c>
      <c r="M86" s="897">
        <f>IF(DashboardChoiceIncExpGraph="Just Direct Marketing",0,IF(ScorecardGraphsChoice=Year1,Inputs!$K86,Inputs!$L86))</f>
        <v>0</v>
      </c>
      <c r="N86" s="898">
        <f>RANK(Inputs!$M86,Inputs!$M$84:$M$139,0)</f>
        <v>1</v>
      </c>
      <c r="O86" s="718"/>
      <c r="R86" s="444">
        <v>3</v>
      </c>
      <c r="S86" s="437" t="e">
        <f>INDEX(Inputs!$J$84:$N$139,MATCH(Inputs!$R86,Inputs!$N$84:$N$139,0),1)</f>
        <v>#N/A</v>
      </c>
      <c r="T86" s="897" t="e">
        <f>INDEX(Inputs!$J$84:$N$139,MATCH(Inputs!$S86,Inputs!$J$84:$J$139,0),4)</f>
        <v>#N/A</v>
      </c>
      <c r="U86" s="791" t="e">
        <f>Inputs!$T86/SUM(Inputs!$M$84:$M$139)</f>
        <v>#N/A</v>
      </c>
    </row>
    <row r="87" spans="10:21" x14ac:dyDescent="0.2">
      <c r="J87" s="899" t="s">
        <v>317</v>
      </c>
      <c r="K87" s="890">
        <f>(ACFVCFertilizerTot)</f>
        <v>0</v>
      </c>
      <c r="L87" s="891">
        <f>(MCFVCFertilizerTot)</f>
        <v>0</v>
      </c>
      <c r="M87" s="892">
        <f>IF(DashboardChoiceIncExpGraph="Just Direct Marketing",0,IF(ScorecardGraphsChoice=Year1,Inputs!$K87,Inputs!$L87))</f>
        <v>0</v>
      </c>
      <c r="N87" s="893">
        <f>RANK(Inputs!$M87,Inputs!$M$84:$M$139,0)</f>
        <v>1</v>
      </c>
      <c r="O87" s="718"/>
      <c r="R87" s="442">
        <v>4</v>
      </c>
      <c r="S87" s="443" t="e">
        <f>INDEX(Inputs!$J$84:$N$139,MATCH(Inputs!$R87,Inputs!$N$84:$N$139,0),1)</f>
        <v>#N/A</v>
      </c>
      <c r="T87" s="892" t="e">
        <f>INDEX(Inputs!$J$84:$N$139,MATCH(Inputs!$S87,Inputs!$J$84:$J$139,0),4)</f>
        <v>#N/A</v>
      </c>
      <c r="U87" s="789" t="e">
        <f>Inputs!$T87/SUM(Inputs!$M$84:$M$139)</f>
        <v>#N/A</v>
      </c>
    </row>
    <row r="88" spans="10:21" x14ac:dyDescent="0.2">
      <c r="J88" s="900" t="s">
        <v>318</v>
      </c>
      <c r="K88" s="895">
        <f>(ACFVCChemTot)</f>
        <v>0</v>
      </c>
      <c r="L88" s="896">
        <f>(MCFVCChemTot)</f>
        <v>0</v>
      </c>
      <c r="M88" s="897">
        <f>IF(DashboardChoiceIncExpGraph="Just Direct Marketing",0,IF(ScorecardGraphsChoice=Year1,Inputs!$K88,Inputs!$L88))</f>
        <v>0</v>
      </c>
      <c r="N88" s="898">
        <f>RANK(Inputs!$M88,Inputs!$M$84:$M$139,0)</f>
        <v>1</v>
      </c>
      <c r="O88" s="718"/>
      <c r="R88" s="444">
        <v>5</v>
      </c>
      <c r="S88" s="437" t="e">
        <f>INDEX(Inputs!$J$84:$N$139,MATCH(Inputs!$R88,Inputs!$N$84:$N$139,0),1)</f>
        <v>#N/A</v>
      </c>
      <c r="T88" s="897" t="e">
        <f>INDEX(Inputs!$J$84:$N$139,MATCH(Inputs!$S88,Inputs!$J$84:$J$139,0),4)</f>
        <v>#N/A</v>
      </c>
      <c r="U88" s="791" t="e">
        <f>Inputs!$T88/SUM(Inputs!$M$84:$M$139)</f>
        <v>#N/A</v>
      </c>
    </row>
    <row r="89" spans="10:21" ht="25.5" x14ac:dyDescent="0.2">
      <c r="J89" s="901" t="s">
        <v>71</v>
      </c>
      <c r="K89" s="892">
        <f>(ACFVCRepairsTot)</f>
        <v>0</v>
      </c>
      <c r="L89" s="891">
        <f>(MCFVCRepairsTot)</f>
        <v>0</v>
      </c>
      <c r="M89" s="892">
        <f>IF(DashboardChoiceIncExpGraph="Just Direct Marketing",0,IF(ScorecardGraphsChoice=Year1,Inputs!$K89,Inputs!$L89))</f>
        <v>0</v>
      </c>
      <c r="N89" s="893">
        <f>RANK(Inputs!$M89,Inputs!$M$84:$M$139,0)</f>
        <v>1</v>
      </c>
      <c r="O89" s="718"/>
      <c r="R89" s="442">
        <v>6</v>
      </c>
      <c r="S89" s="443" t="e">
        <f>INDEX(Inputs!$J$84:$N$139,MATCH(Inputs!$R89,Inputs!$N$84:$N$139,0),1)</f>
        <v>#N/A</v>
      </c>
      <c r="T89" s="892" t="e">
        <f>INDEX(Inputs!$J$84:$N$139,MATCH(Inputs!$S89,Inputs!$J$84:$J$139,0),4)</f>
        <v>#N/A</v>
      </c>
      <c r="U89" s="789" t="e">
        <f>Inputs!$T89/SUM(Inputs!$M$84:$M$139)</f>
        <v>#N/A</v>
      </c>
    </row>
    <row r="90" spans="10:21" ht="25.5" x14ac:dyDescent="0.2">
      <c r="J90" s="894" t="s">
        <v>45</v>
      </c>
      <c r="K90" s="897">
        <f>(ACFVCFuelTot)</f>
        <v>0</v>
      </c>
      <c r="L90" s="896">
        <f>(MCFVCFuelTot)</f>
        <v>0</v>
      </c>
      <c r="M90" s="897">
        <f>IF(DashboardChoiceIncExpGraph="Just Direct Marketing",0,IF(ScorecardGraphsChoice=Year1,Inputs!$K90,Inputs!$L90))</f>
        <v>0</v>
      </c>
      <c r="N90" s="898">
        <f>RANK(Inputs!$M90,Inputs!$M$84:$M$139,0)</f>
        <v>1</v>
      </c>
      <c r="O90" s="718"/>
      <c r="R90" s="444">
        <v>7</v>
      </c>
      <c r="S90" s="437" t="e">
        <f>INDEX(Inputs!$J$84:$N$139,MATCH(Inputs!$R90,Inputs!$N$84:$N$139,0),1)</f>
        <v>#N/A</v>
      </c>
      <c r="T90" s="897" t="e">
        <f>INDEX(Inputs!$J$84:$N$139,MATCH(Inputs!$S90,Inputs!$J$84:$J$139,0),4)</f>
        <v>#N/A</v>
      </c>
      <c r="U90" s="791" t="e">
        <f>Inputs!$T90/SUM(Inputs!$M$84:$M$139)</f>
        <v>#N/A</v>
      </c>
    </row>
    <row r="91" spans="10:21" x14ac:dyDescent="0.2">
      <c r="J91" s="889" t="s">
        <v>73</v>
      </c>
      <c r="K91" s="890">
        <f>(ACFFCInterestTot)</f>
        <v>0</v>
      </c>
      <c r="L91" s="891">
        <f>(MCFFCInterestTot)</f>
        <v>0</v>
      </c>
      <c r="M91" s="892">
        <f>IF(DashboardChoiceIncExpGraph="Just Direct Marketing",0,IF(ScorecardGraphsChoice=Year1,Inputs!$K91,Inputs!$L91))</f>
        <v>0</v>
      </c>
      <c r="N91" s="893">
        <f>RANK(Inputs!$M91,Inputs!$M$84:$M$139,0)</f>
        <v>1</v>
      </c>
      <c r="O91" s="718"/>
      <c r="R91" s="442">
        <v>8</v>
      </c>
      <c r="S91" s="443" t="e">
        <f>INDEX(Inputs!$J$84:$N$139,MATCH(Inputs!$R91,Inputs!$N$84:$N$139,0),1)</f>
        <v>#N/A</v>
      </c>
      <c r="T91" s="892" t="e">
        <f>INDEX(Inputs!$J$84:$N$139,MATCH(Inputs!$S91,Inputs!$J$84:$J$139,0),4)</f>
        <v>#N/A</v>
      </c>
      <c r="U91" s="789" t="e">
        <f>Inputs!$T91/SUM(Inputs!$M$84:$M$139)</f>
        <v>#N/A</v>
      </c>
    </row>
    <row r="92" spans="10:21" x14ac:dyDescent="0.2">
      <c r="J92" s="902" t="s">
        <v>298</v>
      </c>
      <c r="K92" s="895">
        <f>(ACFVCCropInsTot)</f>
        <v>0</v>
      </c>
      <c r="L92" s="896">
        <f>(MCFVCCropInsTot)</f>
        <v>0</v>
      </c>
      <c r="M92" s="897">
        <f>IF(DashboardChoiceIncExpGraph="Just Direct Marketing",0,IF(ScorecardGraphsChoice=Year1,Inputs!$K92,Inputs!$L92))</f>
        <v>0</v>
      </c>
      <c r="N92" s="898">
        <f>RANK(Inputs!$M92,Inputs!$M$84:$M$139,0)</f>
        <v>1</v>
      </c>
      <c r="O92" s="718"/>
      <c r="R92" s="444">
        <v>9</v>
      </c>
      <c r="S92" s="437" t="e">
        <f>INDEX(Inputs!$J$84:$N$139,MATCH(Inputs!$R92,Inputs!$N$84:$N$139,0),1)</f>
        <v>#N/A</v>
      </c>
      <c r="T92" s="897" t="e">
        <f>INDEX(Inputs!$J$84:$N$139,MATCH(Inputs!$S92,Inputs!$J$84:$J$139,0),4)</f>
        <v>#N/A</v>
      </c>
      <c r="U92" s="791" t="e">
        <f>Inputs!$T92/SUM(Inputs!$M$84:$M$139)</f>
        <v>#N/A</v>
      </c>
    </row>
    <row r="93" spans="10:21" x14ac:dyDescent="0.2">
      <c r="J93" s="903" t="s">
        <v>306</v>
      </c>
      <c r="K93" s="892">
        <f>(ACFVCCustomHireTot)</f>
        <v>0</v>
      </c>
      <c r="L93" s="891">
        <f>(MCFVCCustomHireTot)</f>
        <v>0</v>
      </c>
      <c r="M93" s="892">
        <f>IF(DashboardChoiceIncExpGraph="Just Direct Marketing",0,IF(ScorecardGraphsChoice=Year1,Inputs!$K93,Inputs!$L93))</f>
        <v>0</v>
      </c>
      <c r="N93" s="893">
        <f>RANK(Inputs!$M93,Inputs!$M$84:$M$139,0)</f>
        <v>1</v>
      </c>
      <c r="O93" s="718"/>
      <c r="R93" s="442">
        <v>10</v>
      </c>
      <c r="S93" s="443" t="e">
        <f>INDEX(Inputs!$J$84:$N$139,MATCH(Inputs!$R93,Inputs!$N$84:$N$139,0),1)</f>
        <v>#N/A</v>
      </c>
      <c r="T93" s="892" t="e">
        <f>INDEX(Inputs!$J$84:$N$139,MATCH(Inputs!$S93,Inputs!$J$84:$J$139,0),4)</f>
        <v>#N/A</v>
      </c>
      <c r="U93" s="789" t="e">
        <f>Inputs!$T93/SUM(Inputs!$M$84:$M$139)</f>
        <v>#N/A</v>
      </c>
    </row>
    <row r="94" spans="10:21" x14ac:dyDescent="0.2">
      <c r="J94" s="904" t="s">
        <v>314</v>
      </c>
      <c r="K94" s="897">
        <f>(ACFVCPurchFeedTot)</f>
        <v>0</v>
      </c>
      <c r="L94" s="896">
        <f>(MCFVCPurchFeedTot)</f>
        <v>0</v>
      </c>
      <c r="M94" s="905">
        <f>IF(DashboardChoiceIncExpGraph="Just Direct Marketing",0,IF(ScorecardGraphsChoice=Year1,Inputs!$K94,Inputs!$L94))</f>
        <v>0</v>
      </c>
      <c r="N94" s="906">
        <f>RANK(Inputs!$M94,Inputs!$M$84:$M$139,0)</f>
        <v>1</v>
      </c>
      <c r="O94" s="457"/>
      <c r="R94" s="444" t="s">
        <v>521</v>
      </c>
      <c r="S94" s="437" t="s">
        <v>521</v>
      </c>
      <c r="T94" s="897" t="e">
        <f>SUM(Inputs!$M$84:$M$139)-SUM(T84:T93)</f>
        <v>#N/A</v>
      </c>
      <c r="U94" s="791" t="e">
        <f>Inputs!$T94/SUM(Inputs!$M$84:$M$139)</f>
        <v>#N/A</v>
      </c>
    </row>
    <row r="95" spans="10:21" x14ac:dyDescent="0.2">
      <c r="J95" s="903" t="s">
        <v>302</v>
      </c>
      <c r="K95" s="890">
        <f>(ACFFCFarmInsTot)</f>
        <v>0</v>
      </c>
      <c r="L95" s="891">
        <f>(MCFFCFarmInsTot)</f>
        <v>0</v>
      </c>
      <c r="M95" s="907">
        <f>IF(DashboardChoiceIncExpGraph="Just Direct Marketing",0,IF(ScorecardGraphsChoice=Year1,Inputs!$K95,Inputs!$L95))</f>
        <v>0</v>
      </c>
      <c r="N95" s="908">
        <f>RANK(Inputs!$M95,Inputs!$M$84:$M$139,0)</f>
        <v>1</v>
      </c>
      <c r="O95" s="457"/>
    </row>
    <row r="96" spans="10:21" ht="25.5" x14ac:dyDescent="0.2">
      <c r="J96" s="894" t="s">
        <v>448</v>
      </c>
      <c r="K96" s="895">
        <f>(ACFFCOthTot)</f>
        <v>0</v>
      </c>
      <c r="L96" s="896">
        <f>(MCFFCOthTot)</f>
        <v>0</v>
      </c>
      <c r="M96" s="905">
        <f>IF(DashboardChoiceIncExpGraph="Just Direct Marketing",0,IF(ScorecardGraphsChoice=Year1,Inputs!$K96,Inputs!$L96))</f>
        <v>0</v>
      </c>
      <c r="N96" s="906">
        <f>RANK(Inputs!$M96,Inputs!$M$84:$M$139,0)</f>
        <v>1</v>
      </c>
      <c r="O96" s="457"/>
    </row>
    <row r="97" spans="10:15" x14ac:dyDescent="0.2">
      <c r="J97" s="903" t="s">
        <v>331</v>
      </c>
      <c r="K97" s="890">
        <f>(ACFVCDryingTot)</f>
        <v>0</v>
      </c>
      <c r="L97" s="891">
        <f>(MCFVCDryingTot)</f>
        <v>0</v>
      </c>
      <c r="M97" s="907">
        <f>IF(DashboardChoiceIncExpGraph="Just Direct Marketing",0,IF(ScorecardGraphsChoice=Year1,Inputs!$K97,Inputs!$L97))</f>
        <v>0</v>
      </c>
      <c r="N97" s="908">
        <f>RANK(Inputs!$M97,Inputs!$M$84:$M$139,0)</f>
        <v>1</v>
      </c>
      <c r="O97" s="457"/>
    </row>
    <row r="98" spans="10:15" x14ac:dyDescent="0.2">
      <c r="J98" s="909" t="s">
        <v>47</v>
      </c>
      <c r="K98" s="897">
        <f>(ACFVCUtilTot)</f>
        <v>0</v>
      </c>
      <c r="L98" s="896">
        <f>(MCFVCUtilTot)</f>
        <v>0</v>
      </c>
      <c r="M98" s="905">
        <f>IF(DashboardChoiceIncExpGraph="Just Direct Marketing",0,IF(ScorecardGraphsChoice=Year1,Inputs!$K98,Inputs!$L98))</f>
        <v>0</v>
      </c>
      <c r="N98" s="906">
        <f>RANK(Inputs!$M98,Inputs!$M$84:$M$139,0)</f>
        <v>1</v>
      </c>
      <c r="O98" s="457"/>
    </row>
    <row r="99" spans="10:15" x14ac:dyDescent="0.2">
      <c r="J99" s="903" t="s">
        <v>324</v>
      </c>
      <c r="K99" s="892">
        <f>(ACFVCCropConsultTot)</f>
        <v>0</v>
      </c>
      <c r="L99" s="891">
        <f>(MCFVCCropConsultTot)</f>
        <v>0</v>
      </c>
      <c r="M99" s="907">
        <f>IF(DashboardChoiceIncExpGraph="Just Direct Marketing",0,IF(ScorecardGraphsChoice=Year1,Inputs!$K99,Inputs!$L99))</f>
        <v>0</v>
      </c>
      <c r="N99" s="908">
        <f>RANK(Inputs!$M99,Inputs!$M$84:$M$139,0)</f>
        <v>1</v>
      </c>
      <c r="O99" s="457"/>
    </row>
    <row r="100" spans="10:15" x14ac:dyDescent="0.2">
      <c r="J100" s="904" t="s">
        <v>66</v>
      </c>
      <c r="K100" s="895">
        <f>(ACFFCPropTaxTot)</f>
        <v>0</v>
      </c>
      <c r="L100" s="896">
        <f>(MCFFCPropTaxTot)</f>
        <v>0</v>
      </c>
      <c r="M100" s="905">
        <f>IF(DashboardChoiceIncExpGraph="Just Direct Marketing",0,IF(ScorecardGraphsChoice=Year1,Inputs!$K100,Inputs!$L100))</f>
        <v>0</v>
      </c>
      <c r="N100" s="906">
        <f>RANK(Inputs!$M100,Inputs!$M$84:$M$139,0)</f>
        <v>1</v>
      </c>
      <c r="O100" s="457"/>
    </row>
    <row r="101" spans="10:15" x14ac:dyDescent="0.2">
      <c r="J101" s="903" t="s">
        <v>332</v>
      </c>
      <c r="K101" s="892">
        <f>(ACFVCCropMarketingTot)</f>
        <v>0</v>
      </c>
      <c r="L101" s="891">
        <f>(MCFVCCropMarketingTot)</f>
        <v>0</v>
      </c>
      <c r="M101" s="907">
        <f>IF(DashboardChoiceIncExpGraph="Just Direct Marketing",0,IF(ScorecardGraphsChoice=Year1,Inputs!$K101,Inputs!$L101))</f>
        <v>0</v>
      </c>
      <c r="N101" s="908">
        <f>RANK(Inputs!$M101,Inputs!$M$84:$M$139,0)</f>
        <v>1</v>
      </c>
      <c r="O101" s="457"/>
    </row>
    <row r="102" spans="10:15" x14ac:dyDescent="0.2">
      <c r="J102" s="902" t="s">
        <v>315</v>
      </c>
      <c r="K102" s="897">
        <f>(ACFVCVetTot)</f>
        <v>0</v>
      </c>
      <c r="L102" s="896">
        <f>(MCFVCVetTot)</f>
        <v>0</v>
      </c>
      <c r="M102" s="905">
        <f>IF(DashboardChoiceIncExpGraph="Just Direct Marketing",0,IF(ScorecardGraphsChoice=Year1,Inputs!$K102,Inputs!$L102))</f>
        <v>0</v>
      </c>
      <c r="N102" s="906">
        <f>RANK(Inputs!$M102,Inputs!$M$84:$M$139,0)</f>
        <v>1</v>
      </c>
      <c r="O102" s="457"/>
    </row>
    <row r="103" spans="10:15" ht="25.5" x14ac:dyDescent="0.2">
      <c r="J103" s="889" t="s">
        <v>307</v>
      </c>
      <c r="K103" s="892">
        <f>(ACFVCLivestockSuppliesTot)</f>
        <v>0</v>
      </c>
      <c r="L103" s="891">
        <f>(MCFVCLivestockSuppliesTot)</f>
        <v>0</v>
      </c>
      <c r="M103" s="907">
        <f>IF(DashboardChoiceIncExpGraph="Just Direct Marketing",0,IF(ScorecardGraphsChoice=Year1,Inputs!$K103,Inputs!$L103))</f>
        <v>0</v>
      </c>
      <c r="N103" s="908">
        <f>RANK(Inputs!$M103,Inputs!$M$84:$M$139,0)</f>
        <v>1</v>
      </c>
      <c r="O103" s="457"/>
    </row>
    <row r="104" spans="10:15" ht="25.5" x14ac:dyDescent="0.2">
      <c r="J104" s="909" t="s">
        <v>308</v>
      </c>
      <c r="K104" s="897">
        <f>(ACFVCLivestockMarketingTot)</f>
        <v>0</v>
      </c>
      <c r="L104" s="896">
        <f>(MCFVCLivestockMarketingTot)</f>
        <v>0</v>
      </c>
      <c r="M104" s="905">
        <f>IF(DashboardChoiceIncExpGraph="Just Direct Marketing",0,IF(ScorecardGraphsChoice=Year1,Inputs!$K104,Inputs!$L104))</f>
        <v>0</v>
      </c>
      <c r="N104" s="906">
        <f>RANK(Inputs!$M104,Inputs!$M$84:$M$139,0)</f>
        <v>1</v>
      </c>
      <c r="O104" s="457"/>
    </row>
    <row r="105" spans="10:15" x14ac:dyDescent="0.2">
      <c r="J105" s="901" t="s">
        <v>320</v>
      </c>
      <c r="K105" s="890">
        <f>(ACFVCStorageTot)</f>
        <v>0</v>
      </c>
      <c r="L105" s="891">
        <f>(MCFVCStorageTot)</f>
        <v>0</v>
      </c>
      <c r="M105" s="907">
        <f>IF(DashboardChoiceIncExpGraph="Just Direct Marketing",0,IF(ScorecardGraphsChoice=Year1,Inputs!$K105,Inputs!$L105))</f>
        <v>0</v>
      </c>
      <c r="N105" s="908">
        <f>RANK(Inputs!$M105,Inputs!$M$84:$M$139,0)</f>
        <v>1</v>
      </c>
      <c r="O105" s="457"/>
    </row>
    <row r="106" spans="10:15" ht="25.5" x14ac:dyDescent="0.2">
      <c r="J106" s="909" t="s">
        <v>321</v>
      </c>
      <c r="K106" s="897">
        <f>(ACFVCGreenhouseSuppliesTot)</f>
        <v>0</v>
      </c>
      <c r="L106" s="896">
        <f>(MCFVCGreenhouseSuppliesTot)</f>
        <v>0</v>
      </c>
      <c r="M106" s="905">
        <f>IF(DashboardChoiceIncExpGraph="Just Direct Marketing",0,IF(ScorecardGraphsChoice=Year1,Inputs!$K106,Inputs!$L106))</f>
        <v>0</v>
      </c>
      <c r="N106" s="906">
        <f>RANK(Inputs!$M106,Inputs!$M$84:$M$139,0)</f>
        <v>1</v>
      </c>
      <c r="O106" s="457"/>
    </row>
    <row r="107" spans="10:15" ht="25.5" x14ac:dyDescent="0.2">
      <c r="J107" s="901" t="s">
        <v>322</v>
      </c>
      <c r="K107" s="892">
        <f>(ACFVCCropSuppliesTot)</f>
        <v>0</v>
      </c>
      <c r="L107" s="891">
        <f>(MCFVCCropSuppliesTot)</f>
        <v>0</v>
      </c>
      <c r="M107" s="907">
        <f>IF(DashboardChoiceIncExpGraph="Just Direct Marketing",0,IF(ScorecardGraphsChoice=Year1,Inputs!$K107,Inputs!$L107))</f>
        <v>0</v>
      </c>
      <c r="N107" s="908">
        <f>RANK(Inputs!$M107,Inputs!$M$84:$M$139,0)</f>
        <v>1</v>
      </c>
      <c r="O107" s="457"/>
    </row>
    <row r="108" spans="10:15" x14ac:dyDescent="0.2">
      <c r="J108" s="904" t="s">
        <v>323</v>
      </c>
      <c r="K108" s="897">
        <f>(ACFVCIrrigationTot)</f>
        <v>0</v>
      </c>
      <c r="L108" s="896">
        <f>(MCFVCIrrigationTot)</f>
        <v>0</v>
      </c>
      <c r="M108" s="905">
        <f>IF(DashboardChoiceIncExpGraph="Just Direct Marketing",0,IF(ScorecardGraphsChoice=Year1,Inputs!$K108,Inputs!$L108))</f>
        <v>0</v>
      </c>
      <c r="N108" s="906">
        <f>RANK(Inputs!$M108,Inputs!$M$84:$M$139,0)</f>
        <v>1</v>
      </c>
      <c r="O108" s="457"/>
    </row>
    <row r="109" spans="10:15" ht="25.5" x14ac:dyDescent="0.2">
      <c r="J109" s="903" t="s">
        <v>313</v>
      </c>
      <c r="K109" s="892">
        <f>(ACFVCFeederLivestockTot)</f>
        <v>0</v>
      </c>
      <c r="L109" s="891">
        <f>(MCFVCFeederLivestockTot)</f>
        <v>0</v>
      </c>
      <c r="M109" s="907">
        <f>IF(DashboardChoiceIncExpGraph="Just Direct Marketing",0,IF(ScorecardGraphsChoice=Year1,Inputs!$K109,Inputs!$L109))</f>
        <v>0</v>
      </c>
      <c r="N109" s="908">
        <f>RANK(Inputs!$M109,Inputs!$M$84:$M$139,0)</f>
        <v>1</v>
      </c>
      <c r="O109" s="457"/>
    </row>
    <row r="110" spans="10:15" ht="25.5" x14ac:dyDescent="0.2">
      <c r="J110" s="910" t="s">
        <v>312</v>
      </c>
      <c r="K110" s="897">
        <f>(ACFVCLivestockInsuranceTot)</f>
        <v>0</v>
      </c>
      <c r="L110" s="896">
        <f>(MCFVCLivestockInsuranceTot)</f>
        <v>0</v>
      </c>
      <c r="M110" s="905">
        <f>IF(DashboardChoiceIncExpGraph="Just Direct Marketing",0,IF(ScorecardGraphsChoice=Year1,Inputs!$K110,Inputs!$L110))</f>
        <v>0</v>
      </c>
      <c r="N110" s="906">
        <f>RANK(Inputs!$M110,Inputs!$M$84:$M$139,0)</f>
        <v>1</v>
      </c>
      <c r="O110" s="457"/>
    </row>
    <row r="111" spans="10:15" x14ac:dyDescent="0.2">
      <c r="J111" s="911" t="s">
        <v>311</v>
      </c>
      <c r="K111" s="892">
        <f>(ACFVCGrazingTot)</f>
        <v>0</v>
      </c>
      <c r="L111" s="891">
        <f>(MCFVCGrazingTot)</f>
        <v>0</v>
      </c>
      <c r="M111" s="907">
        <f>IF(DashboardChoiceIncExpGraph="Just Direct Marketing",0,IF(ScorecardGraphsChoice=Year1,Inputs!$K111,Inputs!$L111))</f>
        <v>0</v>
      </c>
      <c r="N111" s="908">
        <f>RANK(Inputs!$M111,Inputs!$M$84:$M$139,0)</f>
        <v>1</v>
      </c>
      <c r="O111" s="457"/>
    </row>
    <row r="112" spans="10:15" x14ac:dyDescent="0.2">
      <c r="J112" s="900" t="s">
        <v>310</v>
      </c>
      <c r="K112" s="897">
        <f>(ACFVCGovProgTot)</f>
        <v>0</v>
      </c>
      <c r="L112" s="896">
        <f>(MCFVCGovProgTot)</f>
        <v>0</v>
      </c>
      <c r="M112" s="905">
        <f>IF(DashboardChoiceIncExpGraph="Just Direct Marketing",0,IF(ScorecardGraphsChoice=Year1,Inputs!$K112,Inputs!$L112))</f>
        <v>0</v>
      </c>
      <c r="N112" s="906">
        <f>RANK(Inputs!$M112,Inputs!$M$84:$M$139,0)</f>
        <v>1</v>
      </c>
      <c r="O112" s="457"/>
    </row>
    <row r="113" spans="10:15" ht="25.5" x14ac:dyDescent="0.2">
      <c r="J113" s="901" t="s">
        <v>309</v>
      </c>
      <c r="K113" s="892">
        <f>(ACFVCLivestockConsultTot)</f>
        <v>0</v>
      </c>
      <c r="L113" s="891">
        <f>(MCFVCLivestockConsultTot)</f>
        <v>0</v>
      </c>
      <c r="M113" s="907">
        <f>IF(DashboardChoiceIncExpGraph="Just Direct Marketing",0,IF(ScorecardGraphsChoice=Year1,Inputs!$K113,Inputs!$L113))</f>
        <v>0</v>
      </c>
      <c r="N113" s="908">
        <f>RANK(Inputs!$M113,Inputs!$M$84:$M$139,0)</f>
        <v>1</v>
      </c>
      <c r="O113" s="457"/>
    </row>
    <row r="114" spans="10:15" x14ac:dyDescent="0.2">
      <c r="J114" s="910" t="s">
        <v>304</v>
      </c>
      <c r="K114" s="897">
        <f>(ACFVCLaborTot)</f>
        <v>0</v>
      </c>
      <c r="L114" s="896">
        <f>(MCFVCLaborTot)</f>
        <v>0</v>
      </c>
      <c r="M114" s="905">
        <f>IF(DashboardChoiceIncExpGraph="Just Direct Marketing",0,IF(ScorecardGraphsChoice=Year1,Inputs!$K114,Inputs!$L114))</f>
        <v>0</v>
      </c>
      <c r="N114" s="906">
        <f>RANK(Inputs!$M114,Inputs!$M$84:$M$139,0)</f>
        <v>1</v>
      </c>
      <c r="O114" s="457"/>
    </row>
    <row r="115" spans="10:15" ht="25.5" x14ac:dyDescent="0.2">
      <c r="J115" s="911" t="s">
        <v>46</v>
      </c>
      <c r="K115" s="890">
        <f>(ACFVCTaxesTot)</f>
        <v>0</v>
      </c>
      <c r="L115" s="891">
        <f>(MCFVCTaxesTot)</f>
        <v>0</v>
      </c>
      <c r="M115" s="907">
        <f>IF(DashboardChoiceIncExpGraph="Just Direct Marketing",0,IF(ScorecardGraphsChoice=Year1,Inputs!$K115,Inputs!$L115))</f>
        <v>0</v>
      </c>
      <c r="N115" s="908">
        <f>RANK(Inputs!$M115,Inputs!$M$84:$M$139,0)</f>
        <v>1</v>
      </c>
      <c r="O115" s="457"/>
    </row>
    <row r="116" spans="10:15" x14ac:dyDescent="0.2">
      <c r="J116" s="910" t="s">
        <v>385</v>
      </c>
      <c r="K116" s="895">
        <f>(ACFVCOthTot)</f>
        <v>0</v>
      </c>
      <c r="L116" s="896">
        <f>(MCFVCOthTot)</f>
        <v>0</v>
      </c>
      <c r="M116" s="905">
        <f>IF(DashboardChoiceIncExpGraph="Just Direct Marketing",0,IF(ScorecardGraphsChoice=Year1,Inputs!$K116,Inputs!$L116))</f>
        <v>0</v>
      </c>
      <c r="N116" s="906">
        <f>RANK(Inputs!$M116,Inputs!$M$84:$M$139,0)</f>
        <v>1</v>
      </c>
      <c r="O116" s="457"/>
    </row>
    <row r="117" spans="10:15" ht="25.5" x14ac:dyDescent="0.2">
      <c r="J117" s="901" t="s">
        <v>303</v>
      </c>
      <c r="K117" s="892">
        <f>(ACFFCMachLeaseTot)</f>
        <v>0</v>
      </c>
      <c r="L117" s="912">
        <f>(MCFFCMachLeaseTot)</f>
        <v>0</v>
      </c>
      <c r="M117" s="907">
        <f>IF(DashboardChoiceIncExpGraph="Just Direct Marketing",0,IF(ScorecardGraphsChoice=Year1,Inputs!$K117,Inputs!$L117))</f>
        <v>0</v>
      </c>
      <c r="N117" s="908">
        <f>RANK(Inputs!$M117,Inputs!$M$84:$M$139,0)</f>
        <v>1</v>
      </c>
      <c r="O117" s="457"/>
    </row>
    <row r="118" spans="10:15" x14ac:dyDescent="0.2">
      <c r="J118" s="909" t="s">
        <v>447</v>
      </c>
      <c r="K118" s="895">
        <f>(ACFFCPermitTot)</f>
        <v>0</v>
      </c>
      <c r="L118" s="896">
        <f>(MCFFCPermitTot)</f>
        <v>0</v>
      </c>
      <c r="M118" s="905">
        <f>IF(DashboardChoiceIncExpGraph="Just Direct Marketing",0,IF(ScorecardGraphsChoice=Year1,Inputs!$K118,Inputs!$L118))</f>
        <v>0</v>
      </c>
      <c r="N118" s="906">
        <f>RANK(Inputs!$M118,Inputs!$M$84:$M$139,0)</f>
        <v>1</v>
      </c>
      <c r="O118" s="457"/>
    </row>
    <row r="119" spans="10:15" ht="38.25" x14ac:dyDescent="0.2">
      <c r="J119" s="911" t="s">
        <v>325</v>
      </c>
      <c r="K119" s="890"/>
      <c r="L119" s="891"/>
      <c r="M119" s="907">
        <f>IF(DashboardChoiceIncExpGraph="Just Direct Marketing",0,IF(ScorecardGraphsChoice=Year1,Inputs!$K119,Inputs!$L119))</f>
        <v>0</v>
      </c>
      <c r="N119" s="908">
        <f>RANK(Inputs!$M119,Inputs!$M$84:$M$139,0)</f>
        <v>1</v>
      </c>
      <c r="O119" s="457"/>
    </row>
    <row r="120" spans="10:15" ht="25.5" x14ac:dyDescent="0.2">
      <c r="J120" s="910" t="s">
        <v>326</v>
      </c>
      <c r="K120" s="895"/>
      <c r="L120" s="896"/>
      <c r="M120" s="905">
        <f>IF(DashboardChoiceIncExpGraph="Just Direct Marketing",0,IF(ScorecardGraphsChoice=Year1,Inputs!$K120,Inputs!$L120))</f>
        <v>0</v>
      </c>
      <c r="N120" s="906">
        <f>RANK(Inputs!$M120,Inputs!$M$84:$M$139,0)</f>
        <v>1</v>
      </c>
      <c r="O120" s="457"/>
    </row>
    <row r="121" spans="10:15" ht="38.25" x14ac:dyDescent="0.2">
      <c r="J121" s="901" t="s">
        <v>301</v>
      </c>
      <c r="K121" s="890">
        <f>(ACFFCProfTot)</f>
        <v>0</v>
      </c>
      <c r="L121" s="891">
        <f>(MCFFCProfTot)</f>
        <v>0</v>
      </c>
      <c r="M121" s="907">
        <f>IF(DashboardChoiceIncExpGraph="Just Direct Marketing",0,IF(ScorecardGraphsChoice=Year1,Inputs!$K121,Inputs!$L121))</f>
        <v>0</v>
      </c>
      <c r="N121" s="908">
        <f>RANK(Inputs!$M121,Inputs!$M$84:$M$139,0)</f>
        <v>1</v>
      </c>
      <c r="O121" s="457"/>
    </row>
    <row r="122" spans="10:15" x14ac:dyDescent="0.2">
      <c r="J122" s="444" t="str">
        <f>CONCATENATE("DM-",'Final Income and Cash Flows'!B119)</f>
        <v>DM-Labor</v>
      </c>
      <c r="K122" s="905">
        <f>IF(HowSell="Direct to Processor",0,ACFDMVCLaborTot)</f>
        <v>0</v>
      </c>
      <c r="L122" s="905">
        <f>IF(HowSell="Direct to Processor",0,MCFDMVCLaborTot)</f>
        <v>0</v>
      </c>
      <c r="M122" s="905">
        <f>IF(DashboardChoiceIncExpGraph="Just ag",0,IF(ScorecardGraphsChoice=Year1,Inputs!$K122,Inputs!$L122))</f>
        <v>0</v>
      </c>
      <c r="N122" s="906">
        <f>RANK(Inputs!$M122,Inputs!$M$84:$M$139,0)</f>
        <v>1</v>
      </c>
      <c r="O122" s="457"/>
    </row>
    <row r="123" spans="10:15" x14ac:dyDescent="0.2">
      <c r="J123" s="442" t="str">
        <f>CONCATENATE("DM-",'Final Income and Cash Flows'!B120)</f>
        <v>DM-Insurance</v>
      </c>
      <c r="K123" s="907">
        <f>IF(HowSell="Direct to Processor",0,ACFDMVCInsTot)</f>
        <v>0</v>
      </c>
      <c r="L123" s="907">
        <f>IF(HowSell="Direct to Processor",0,MCFDMVCInsTot)</f>
        <v>0</v>
      </c>
      <c r="M123" s="907">
        <f>IF(DashboardChoiceIncExpGraph="Just ag",0,IF(ScorecardGraphsChoice=Year1,Inputs!$K123,Inputs!$L123))</f>
        <v>0</v>
      </c>
      <c r="N123" s="908">
        <f>RANK(Inputs!$M123,Inputs!$M$84:$M$139,0)</f>
        <v>1</v>
      </c>
      <c r="O123" s="457"/>
    </row>
    <row r="124" spans="10:15" x14ac:dyDescent="0.2">
      <c r="J124" s="444" t="str">
        <f>CONCATENATE("DM-",'Final Income and Cash Flows'!B121)</f>
        <v>DM-Packaging</v>
      </c>
      <c r="K124" s="905">
        <f>IF(HowSell="Direct to Processor",0,ACFDMVCPackTot)</f>
        <v>0</v>
      </c>
      <c r="L124" s="905">
        <f>IF(HowSell="Direct to Processor",0,MCFDMVCPackTot)</f>
        <v>0</v>
      </c>
      <c r="M124" s="905">
        <f>IF(DashboardChoiceIncExpGraph="Just ag",0,IF(ScorecardGraphsChoice=Year1,Inputs!$K124,Inputs!$L124))</f>
        <v>0</v>
      </c>
      <c r="N124" s="906">
        <f>RANK(Inputs!$M124,Inputs!$M$84:$M$139,0)</f>
        <v>1</v>
      </c>
      <c r="O124" s="457"/>
    </row>
    <row r="125" spans="10:15" x14ac:dyDescent="0.2">
      <c r="J125" s="442" t="str">
        <f>CONCATENATE("DM-",'Final Income and Cash Flows'!B122)</f>
        <v>DM-Processing Supplies</v>
      </c>
      <c r="K125" s="907">
        <f>IF(HowSell="Direct to Processor",0,ACFDMVCSuppliesTot)</f>
        <v>0</v>
      </c>
      <c r="L125" s="907">
        <f>IF(HowSell="Direct to Processor",0,MCFDMVCSuppliesTot)</f>
        <v>0</v>
      </c>
      <c r="M125" s="907">
        <f>IF(DashboardChoiceIncExpGraph="Just ag",0,IF(ScorecardGraphsChoice=Year1,Inputs!$K125,Inputs!$L125))</f>
        <v>0</v>
      </c>
      <c r="N125" s="908">
        <f>RANK(Inputs!$M125,Inputs!$M$84:$M$139,0)</f>
        <v>1</v>
      </c>
      <c r="O125" s="457"/>
    </row>
    <row r="126" spans="10:15" x14ac:dyDescent="0.2">
      <c r="J126" s="444" t="str">
        <f>CONCATENATE("DM-",'Final Income and Cash Flows'!B123)</f>
        <v>DM-Market Supplies</v>
      </c>
      <c r="K126" s="905">
        <f>IF(HowSell="Direct to Processor",0,ACFDMVCMktSuppTot)</f>
        <v>0</v>
      </c>
      <c r="L126" s="905">
        <f>IF(HowSell="Direct to Processor",0,MCFDMVCMktSuppTot)</f>
        <v>0</v>
      </c>
      <c r="M126" s="905">
        <f>IF(DashboardChoiceIncExpGraph="Just ag",0,IF(ScorecardGraphsChoice=Year1,Inputs!$K126,Inputs!$L126))</f>
        <v>0</v>
      </c>
      <c r="N126" s="906">
        <f>RANK(Inputs!$M126,Inputs!$M$84:$M$139,0)</f>
        <v>1</v>
      </c>
      <c r="O126" s="457"/>
    </row>
    <row r="127" spans="10:15" x14ac:dyDescent="0.2">
      <c r="J127" s="442" t="str">
        <f>CONCATENATE("DM-",'Final Income and Cash Flows'!B124)</f>
        <v>DM-Shipping</v>
      </c>
      <c r="K127" s="907">
        <f>IF(HowSell="Direct to Processor",0,ACFDMVCShippingTot)</f>
        <v>0</v>
      </c>
      <c r="L127" s="907">
        <f>IF(HowSell="Direct to Processor",0,MCFDMVCShippingTot)</f>
        <v>0</v>
      </c>
      <c r="M127" s="907">
        <f>IF(DashboardChoiceIncExpGraph="Just ag",0,IF(ScorecardGraphsChoice=Year1,Inputs!$K127,Inputs!$L127))</f>
        <v>0</v>
      </c>
      <c r="N127" s="908">
        <f>RANK(Inputs!$M127,Inputs!$M$84:$M$139,0)</f>
        <v>1</v>
      </c>
      <c r="O127" s="457"/>
    </row>
    <row r="128" spans="10:15" x14ac:dyDescent="0.2">
      <c r="J128" s="444" t="str">
        <f>CONCATENATE("DM-",'Final Income and Cash Flows'!B125)</f>
        <v>DM-Utilities</v>
      </c>
      <c r="K128" s="905">
        <f>IF(HowSell="Direct to Processor",0,ACFDMVCUtilTot)</f>
        <v>0</v>
      </c>
      <c r="L128" s="905">
        <f>IF(HowSell="Direct to Processor",0,MCFDMVCUtilTot)</f>
        <v>0</v>
      </c>
      <c r="M128" s="905">
        <f>IF(DashboardChoiceIncExpGraph="Just ag",0,IF(ScorecardGraphsChoice=Year1,Inputs!$K128,Inputs!$L128))</f>
        <v>0</v>
      </c>
      <c r="N128" s="906">
        <f>RANK(Inputs!$M128,Inputs!$M$84:$M$139,0)</f>
        <v>1</v>
      </c>
      <c r="O128" s="457"/>
    </row>
    <row r="129" spans="10:15" x14ac:dyDescent="0.2">
      <c r="J129" s="442" t="str">
        <f>CONCATENATE("DM-",'Final Income and Cash Flows'!B126)</f>
        <v>DM-Cold Storage Fees</v>
      </c>
      <c r="K129" s="907">
        <f>IF(HowSell="Direct to Processor",0,ACFDMVCColdTot)</f>
        <v>0</v>
      </c>
      <c r="L129" s="907">
        <f>IF(HowSell="Direct to Processor",0,MCFDMVCColdTot)</f>
        <v>0</v>
      </c>
      <c r="M129" s="907">
        <f>IF(DashboardChoiceIncExpGraph="Just ag",0,IF(ScorecardGraphsChoice=Year1,Inputs!$K129,Inputs!$L129))</f>
        <v>0</v>
      </c>
      <c r="N129" s="908">
        <f>RANK(Inputs!$M129,Inputs!$M$84:$M$139,0)</f>
        <v>1</v>
      </c>
      <c r="O129" s="457"/>
    </row>
    <row r="130" spans="10:15" x14ac:dyDescent="0.2">
      <c r="J130" s="444" t="str">
        <f>CONCATENATE("DM-",'Final Income and Cash Flows'!B127)</f>
        <v>DM-Purchased for Resale</v>
      </c>
      <c r="K130" s="905">
        <f>IF(HowSell="Direct to Processor",0,ACFDMVCResaleTot)</f>
        <v>0</v>
      </c>
      <c r="L130" s="905">
        <f>IF(HowSell="Direct to Processor",0,MCFDMVCResaleTot)</f>
        <v>0</v>
      </c>
      <c r="M130" s="905">
        <f>IF(DashboardChoiceIncExpGraph="Just ag",0,IF(ScorecardGraphsChoice=Year1,Inputs!$K130,Inputs!$L130))</f>
        <v>0</v>
      </c>
      <c r="N130" s="906">
        <f>RANK(Inputs!$M130,Inputs!$M$84:$M$139,0)</f>
        <v>1</v>
      </c>
      <c r="O130" s="457"/>
    </row>
    <row r="131" spans="10:15" x14ac:dyDescent="0.2">
      <c r="J131" s="442" t="str">
        <f>CONCATENATE("DM-",'Final Income and Cash Flows'!B128)</f>
        <v>DM-Other Direct Mkt Variable Expenses</v>
      </c>
      <c r="K131" s="907">
        <f>IF(HowSell="Direct to Processor",0,ACFDMVCOthTot)</f>
        <v>0</v>
      </c>
      <c r="L131" s="907">
        <f>IF(HowSell="Direct to Processor",0,MCFDMVCOthTot)</f>
        <v>0</v>
      </c>
      <c r="M131" s="907">
        <f>IF(DashboardChoiceIncExpGraph="Just ag",0,IF(ScorecardGraphsChoice=Year1,Inputs!$K131,Inputs!$L131))</f>
        <v>0</v>
      </c>
      <c r="N131" s="908">
        <f>RANK(Inputs!$M131,Inputs!$M$84:$M$139,0)</f>
        <v>1</v>
      </c>
      <c r="O131" s="457"/>
    </row>
    <row r="132" spans="10:15" x14ac:dyDescent="0.2">
      <c r="J132" s="444" t="str">
        <f>CONCATENATE("DM-",'Final Income and Cash Flows'!B132)</f>
        <v>DM-Facility Rent / Mortgage</v>
      </c>
      <c r="K132" s="905">
        <f>IF(HowSell="Direct to Processor",0,ACFDMFCRentTot)</f>
        <v>0</v>
      </c>
      <c r="L132" s="905">
        <f>IF(HowSell="Direct to Processor",0,MCFDMFCRentTot)</f>
        <v>0</v>
      </c>
      <c r="M132" s="905">
        <f>IF(DashboardChoiceIncExpGraph="Just ag",0,IF(ScorecardGraphsChoice=Year1,Inputs!$K132,Inputs!$L132))</f>
        <v>0</v>
      </c>
      <c r="N132" s="906">
        <f>RANK(Inputs!$M132,Inputs!$M$84:$M$139,0)</f>
        <v>1</v>
      </c>
      <c r="O132" s="457"/>
    </row>
    <row r="133" spans="10:15" x14ac:dyDescent="0.2">
      <c r="J133" s="442" t="str">
        <f>CONCATENATE("DM-",'Final Income and Cash Flows'!B133)</f>
        <v>DM-Promotion &amp; Advertising</v>
      </c>
      <c r="K133" s="907">
        <f>IF(HowSell="Direct to Processor",0,ACFDMFCPromoTot)</f>
        <v>0</v>
      </c>
      <c r="L133" s="907">
        <f>IF(HowSell="Direct to Processor",0,MCFDMFCPromoTot)</f>
        <v>0</v>
      </c>
      <c r="M133" s="907">
        <f>IF(DashboardChoiceIncExpGraph="Just ag",0,IF(ScorecardGraphsChoice=Year1,Inputs!$K133,Inputs!$L133))</f>
        <v>0</v>
      </c>
      <c r="N133" s="908">
        <f>RANK(Inputs!$M133,Inputs!$M$84:$M$139,0)</f>
        <v>1</v>
      </c>
      <c r="O133" s="457"/>
    </row>
    <row r="134" spans="10:15" x14ac:dyDescent="0.2">
      <c r="J134" s="444" t="str">
        <f>CONCATENATE("DM-",'Final Income and Cash Flows'!B134)</f>
        <v>DM-Licenses / Permits</v>
      </c>
      <c r="K134" s="905">
        <f>IF(HowSell="Direct to Processor",0,ACFDMFCPermitTot)</f>
        <v>0</v>
      </c>
      <c r="L134" s="905">
        <f>IF(HowSell="Direct to Processor",0,MCFDMFCPermitTot)</f>
        <v>0</v>
      </c>
      <c r="M134" s="905">
        <f>IF(DashboardChoiceIncExpGraph="Just ag",0,IF(ScorecardGraphsChoice=Year1,Inputs!$K134,Inputs!$L134))</f>
        <v>0</v>
      </c>
      <c r="N134" s="906">
        <f>RANK(Inputs!$M134,Inputs!$M$84:$M$139,0)</f>
        <v>1</v>
      </c>
      <c r="O134" s="457"/>
    </row>
    <row r="135" spans="10:15" x14ac:dyDescent="0.2">
      <c r="J135" s="442" t="str">
        <f>CONCATENATE("DM-",'Final Income and Cash Flows'!B135)</f>
        <v>DM-Vehicle Expense</v>
      </c>
      <c r="K135" s="907">
        <f>IF(HowSell="Direct to Processor",0,ACFDMFCVehTot)</f>
        <v>0</v>
      </c>
      <c r="L135" s="907">
        <f>IF(HowSell="Direct to Processor",0,MCFDMFCVehTot)</f>
        <v>0</v>
      </c>
      <c r="M135" s="907">
        <f>IF(DashboardChoiceIncExpGraph="Just ag",0,IF(ScorecardGraphsChoice=Year1,Inputs!$K135,Inputs!$L135))</f>
        <v>0</v>
      </c>
      <c r="N135" s="908">
        <f>RANK(Inputs!$M135,Inputs!$M$84:$M$139,0)</f>
        <v>1</v>
      </c>
      <c r="O135" s="457"/>
    </row>
    <row r="136" spans="10:15" x14ac:dyDescent="0.2">
      <c r="J136" s="444" t="str">
        <f>CONCATENATE("DM-",'Final Income and Cash Flows'!B136)</f>
        <v>DM-Depreciation - Marketing Facilities &amp; Equipment</v>
      </c>
      <c r="K136" s="905">
        <f>IF(HowSell="Direct to Processor",0,ACFDMFCDeprTot)</f>
        <v>0</v>
      </c>
      <c r="L136" s="905">
        <f>IF(HowSell="Direct to Processor",0,MCFDMFCDeprTot)</f>
        <v>0</v>
      </c>
      <c r="M136" s="905">
        <f>IF(DashboardChoiceIncExpGraph="Just ag",0,IF(ScorecardGraphsChoice=Year1,Inputs!$K136,Inputs!$L136))</f>
        <v>0</v>
      </c>
      <c r="N136" s="906">
        <f>RANK(Inputs!$M136,Inputs!$M$84:$M$139,0)</f>
        <v>1</v>
      </c>
      <c r="O136" s="457"/>
    </row>
    <row r="137" spans="10:15" x14ac:dyDescent="0.2">
      <c r="J137" s="442" t="str">
        <f>CONCATENATE("DM-",'Final Income and Cash Flows'!B137)</f>
        <v>DM-Interest on Loans</v>
      </c>
      <c r="K137" s="907">
        <f>IF(HowSell="Direct to Processor",0,ACFDMFCIntTot)</f>
        <v>0</v>
      </c>
      <c r="L137" s="907">
        <f>IF(HowSell="Direct to Processor",0,MCFDMFCIntTot)</f>
        <v>0</v>
      </c>
      <c r="M137" s="907">
        <f>IF(DashboardChoiceIncExpGraph="Just ag",0,IF(ScorecardGraphsChoice=Year1,Inputs!$K137,Inputs!$L137))</f>
        <v>0</v>
      </c>
      <c r="N137" s="908">
        <f>RANK(Inputs!$M137,Inputs!$M$84:$M$139,0)</f>
        <v>1</v>
      </c>
      <c r="O137" s="457"/>
    </row>
    <row r="138" spans="10:15" x14ac:dyDescent="0.2">
      <c r="J138" s="444" t="str">
        <f>CONCATENATE("DM-",'Final Income and Cash Flows'!B138)</f>
        <v>DM-Misc Direct Mkt Fixed Expenses</v>
      </c>
      <c r="K138" s="905">
        <f>IF(HowSell="Direct to Processor",0,ACFDMFCMiscTot)</f>
        <v>0</v>
      </c>
      <c r="L138" s="905">
        <f>IF(HowSell="Direct to Processor",0,MCFDMFCMiscTot)</f>
        <v>0</v>
      </c>
      <c r="M138" s="905">
        <f>IF(DashboardChoiceIncExpGraph="Just ag",0,IF(ScorecardGraphsChoice=Year1,Inputs!$K138,Inputs!$L138))</f>
        <v>0</v>
      </c>
      <c r="N138" s="906">
        <f>RANK(Inputs!$M138,Inputs!$M$84:$M$139,0)</f>
        <v>1</v>
      </c>
      <c r="O138" s="457"/>
    </row>
    <row r="139" spans="10:15" x14ac:dyDescent="0.2">
      <c r="J139" s="442" t="str">
        <f>CONCATENATE("DM-",'Final Income and Cash Flows'!B139)</f>
        <v>DM-Other Direct Mkt Fixed Expenses</v>
      </c>
      <c r="K139" s="907">
        <f>IF(HowSell="Direct to Processor",0,ACFDMFCOthTot)</f>
        <v>0</v>
      </c>
      <c r="L139" s="907">
        <f>IF(HowSell="Direct to Processor",0,MCFDMFCOthTot)</f>
        <v>0</v>
      </c>
      <c r="M139" s="907">
        <f>IF(DashboardChoiceIncExpGraph="Just ag",0,IF(ScorecardGraphsChoice=Year1,Inputs!$K139,Inputs!$L139))</f>
        <v>0</v>
      </c>
      <c r="N139" s="908">
        <f>RANK(Inputs!$M139,Inputs!$M$84:$M$139,0)</f>
        <v>1</v>
      </c>
      <c r="O139" s="457"/>
    </row>
  </sheetData>
  <conditionalFormatting sqref="L84 L88:L96 L98:L100 L102:L111">
    <cfRule type="expression" dxfId="28" priority="7">
      <formula>ProjTime="Monthly"</formula>
    </cfRule>
  </conditionalFormatting>
  <conditionalFormatting sqref="L112:L121">
    <cfRule type="expression" dxfId="27" priority="6">
      <formula>ProjTime="Monthly"</formula>
    </cfRule>
  </conditionalFormatting>
  <conditionalFormatting sqref="L122:L131">
    <cfRule type="expression" dxfId="26" priority="4">
      <formula>ProjTime="Monthly"</formula>
    </cfRule>
  </conditionalFormatting>
  <conditionalFormatting sqref="L132:L139">
    <cfRule type="expression" dxfId="25" priority="2">
      <formula>ProjTime="Monthly"</formula>
    </cfRule>
  </conditionalFormatting>
  <conditionalFormatting sqref="L83">
    <cfRule type="expression" dxfId="24" priority="1">
      <formula>ProjTime="Monthly"</formula>
    </cfRule>
  </conditionalFormatting>
  <dataValidations count="19">
    <dataValidation type="custom" allowBlank="1" showInputMessage="1" showErrorMessage="1" errorTitle="You only sell to processor" error="In general information, you marked that you only sell your product directly to processors.  To change this, click the blue button next to &quot;Direct Marketing Income and Costs&quot;" sqref="K84:L121">
      <formula1>HowSell&lt;&gt;"Direct to Consumer"</formula1>
    </dataValidation>
    <dataValidation type="custom" errorStyle="information" allowBlank="1" error="=IF(CellEntry()=&quot;&quot;,IF(MCFDMVCColdTot&lt;&gt;0,MCFDMVCColdTot,0),CellEntry())" sqref="L129">
      <formula1>(1=1)</formula1>
    </dataValidation>
    <dataValidation type="custom" errorStyle="information" allowBlank="1" error="=IF(CellEntry()=&quot;&quot;,IF(MCFDMVCLaborTot&lt;&gt;0,MCFDMVCLaborTot,0),CellEntry())" sqref="L122">
      <formula1>(1=1)</formula1>
    </dataValidation>
    <dataValidation type="custom" errorStyle="information" allowBlank="1" error="=IF(CellEntry()=&quot;&quot;,IF(MCFDMVCPackTot&lt;&gt;0,MCFDMVCPackTot,0),CellEntry())" sqref="L124">
      <formula1>(1=1)</formula1>
    </dataValidation>
    <dataValidation type="custom" errorStyle="information" allowBlank="1" error="=IF(CellEntry()=&quot;&quot;,IF(MCFDMVCUtilTot&lt;&gt;0,MCFDMVCUtilTot,0),CellEntry())" sqref="L128">
      <formula1>(1=1)</formula1>
    </dataValidation>
    <dataValidation type="custom" errorStyle="information" allowBlank="1" error="=IF(CellEntry()=&quot;&quot;,IF(MCFDMVCPurchFinTot&lt;&gt;0,MCFDMVCPurchFinTot,0),CellEntry())" sqref="L130">
      <formula1>(1=1)</formula1>
    </dataValidation>
    <dataValidation type="custom" errorStyle="information" allowBlank="1" error="=IF(CellEntry()=&quot;&quot;,IF(MCFDMVCSuppliesTot&lt;&gt;0,MCFDMVCSuppliesTot,0),CellEntry())" sqref="L125">
      <formula1>(1=1)</formula1>
    </dataValidation>
    <dataValidation type="custom" errorStyle="information" allowBlank="1" error="=IF(CellEntry()=&quot;&quot;,IF(MCFDMVCOthTot&lt;&gt;0,MCFDMVCOthTot,0),CellEntry())" sqref="L131">
      <formula1>(1=1)</formula1>
    </dataValidation>
    <dataValidation type="custom" errorStyle="information" allowBlank="1" error="=IF(CellEntry()=&quot;&quot;,IF(MCFDMVCInsTot&lt;&gt;0,MCFDMVCInsTot,0),CellEntry())" sqref="L123">
      <formula1>(1=1)</formula1>
    </dataValidation>
    <dataValidation type="custom" errorStyle="information" allowBlank="1" error="=IF(CellEntry()=&quot;&quot;,IF(MCFDMVCMiscTot&lt;&gt;0,MCFDMVCMiscTot,0),CellEntry())" sqref="L126">
      <formula1>(1=1)</formula1>
    </dataValidation>
    <dataValidation type="custom" errorStyle="information" allowBlank="1" error="=IF(CellEntry()=&quot;&quot;,IF(MCFDMVCShippingTot&lt;&gt;0,MCFDMVCShippingTot,0),CellEntry())" sqref="L127">
      <formula1>(1=1)</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K122:K139">
      <formula1>HowSell&lt;&gt;"Direct to Processor"</formula1>
    </dataValidation>
    <dataValidation type="custom" errorStyle="information" allowBlank="1" error="=IF(CellEntry()=&quot;&quot;,IF(MCFDMFCDeprTot&lt;&gt;0,MCFDMFCDeprTot,0),CellEntry())" sqref="L136:L137">
      <formula1>(1=1)</formula1>
    </dataValidation>
    <dataValidation type="custom" errorStyle="information" allowBlank="1" error="=IF(CellEntry()=&quot;&quot;,IF(MCFDMFCPermitTot&lt;&gt;0,MCFDMFCPermitTot,0),CellEntry())" sqref="L134">
      <formula1>(1=1)</formula1>
    </dataValidation>
    <dataValidation type="custom" errorStyle="information" allowBlank="1" error="=IF(CellEntry()=&quot;&quot;,IF(MCFDMFCRentTot&lt;&gt;0,MCFDMFCRentTot,0),CellEntry())" sqref="L132">
      <formula1>(1=1)</formula1>
    </dataValidation>
    <dataValidation type="custom" errorStyle="information" allowBlank="1" error="=IF(CellEntry()=&quot;&quot;,IF(MCFDMFCMiscTot&lt;&gt;0,MCFDMFCMiscTot,0),CellEntry())" sqref="L138">
      <formula1>(1=1)</formula1>
    </dataValidation>
    <dataValidation type="custom" errorStyle="information" allowBlank="1" error="=IF(CellEntry()=&quot;&quot;,IF(MCFDMFCPromoTot&lt;&gt;0,MCFDMFCPromoTot,0),CellEntry())" sqref="L133">
      <formula1>(1=1)</formula1>
    </dataValidation>
    <dataValidation type="custom" errorStyle="information" allowBlank="1" error="=IF(CellEntry()=&quot;&quot;,IF(MCFDMFCVehTot&lt;&gt;0,MCFDMFCVehTot,0),CellEntry())" sqref="L135">
      <formula1>(1=1)</formula1>
    </dataValidation>
    <dataValidation type="custom" errorStyle="information" allowBlank="1" error="=IF(CellEntry()=&quot;&quot;,IF(MCFDMFCOthTot&lt;&gt;0,MCFDMFCOthTot,0),CellEntry())" sqref="L139">
      <formula1>(1=1)</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9379" r:id="rId4" name="Drop Down 3">
              <controlPr locked="0" defaultSize="0" autoLine="0" autoPict="0">
                <anchor moveWithCells="1">
                  <from>
                    <xdr:col>10</xdr:col>
                    <xdr:colOff>180975</xdr:colOff>
                    <xdr:row>38</xdr:row>
                    <xdr:rowOff>19050</xdr:rowOff>
                  </from>
                  <to>
                    <xdr:col>11</xdr:col>
                    <xdr:colOff>523875</xdr:colOff>
                    <xdr:row>40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A238B148-47F5-4383-886D-35D2553919FC}">
            <xm:f>'Gen Info'!$K$17="Direct to Processor"</xm:f>
            <x14:dxf>
              <font>
                <color theme="0" tint="-0.499984740745262"/>
              </font>
              <fill>
                <patternFill>
                  <bgColor theme="0" tint="-0.34998626667073579"/>
                </patternFill>
              </fill>
            </x14:dxf>
          </x14:cfRule>
          <xm:sqref>K122:L131</xm:sqref>
        </x14:conditionalFormatting>
        <x14:conditionalFormatting xmlns:xm="http://schemas.microsoft.com/office/excel/2006/main">
          <x14:cfRule type="expression" priority="3" id="{849640E8-BD4B-4D84-BC7C-4B8FF3B15C3C}">
            <xm:f>'Gen Info'!$K$17="Direct to Processor"</xm:f>
            <x14:dxf>
              <font>
                <color theme="0" tint="-0.499984740745262"/>
              </font>
              <fill>
                <patternFill>
                  <bgColor theme="0" tint="-0.34998626667073579"/>
                </patternFill>
              </fill>
            </x14:dxf>
          </x14:cfRule>
          <xm:sqref>K132:L139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CC052"/>
  </sheetPr>
  <dimension ref="A1:I134"/>
  <sheetViews>
    <sheetView showGridLines="0" workbookViewId="0">
      <pane ySplit="5" topLeftCell="A6" activePane="bottomLeft" state="frozen"/>
      <selection pane="bottomLeft" activeCell="B8" sqref="B8"/>
    </sheetView>
  </sheetViews>
  <sheetFormatPr defaultColWidth="10" defaultRowHeight="15" customHeight="1" x14ac:dyDescent="0.2"/>
  <cols>
    <col min="1" max="1" width="49.7109375" style="14" customWidth="1"/>
    <col min="2" max="2" width="16.7109375" style="22" bestFit="1" customWidth="1"/>
    <col min="3" max="3" width="3.7109375" style="15" customWidth="1"/>
    <col min="4" max="4" width="49.7109375" style="15" customWidth="1"/>
    <col min="5" max="5" width="16.7109375" style="15" customWidth="1"/>
    <col min="6" max="6" width="3.7109375" style="15" customWidth="1"/>
    <col min="7" max="7" width="49.7109375" style="14" customWidth="1"/>
    <col min="8" max="8" width="16.7109375" style="14" customWidth="1"/>
    <col min="9" max="9" width="12" style="14" customWidth="1"/>
    <col min="10" max="16384" width="10" style="14"/>
  </cols>
  <sheetData>
    <row r="1" spans="1:9" ht="20.25" customHeight="1" x14ac:dyDescent="0.3">
      <c r="A1" s="4" t="s">
        <v>88</v>
      </c>
    </row>
    <row r="2" spans="1:9" ht="15" customHeight="1" x14ac:dyDescent="0.2">
      <c r="A2" s="948" t="str">
        <f>IF(Name&gt;"",Name,IF(BusName&gt;"",BusName,""))</f>
        <v/>
      </c>
      <c r="B2" s="948"/>
    </row>
    <row r="3" spans="1:9" ht="15" customHeight="1" x14ac:dyDescent="0.2">
      <c r="A3" s="81" t="s">
        <v>87</v>
      </c>
      <c r="B3" s="80">
        <f ca="1">GenDate</f>
        <v>42856</v>
      </c>
      <c r="C3" s="19"/>
      <c r="D3" s="19"/>
      <c r="E3" s="19"/>
      <c r="F3" s="19"/>
      <c r="G3" s="949" t="str">
        <f>CONCATENATE("Balances as of ",TEXT(GenInfoBSDate,"mm/dd/yyyy"))</f>
        <v>Balances as of 12/31/2016</v>
      </c>
      <c r="H3" s="949"/>
    </row>
    <row r="4" spans="1:9" ht="15" customHeight="1" x14ac:dyDescent="0.2">
      <c r="B4" s="14"/>
      <c r="C4" s="38"/>
      <c r="D4" s="38"/>
      <c r="E4" s="38"/>
      <c r="F4" s="19"/>
    </row>
    <row r="5" spans="1:9" ht="15" customHeight="1" x14ac:dyDescent="0.25">
      <c r="A5" s="1" t="s">
        <v>162</v>
      </c>
      <c r="B5" s="915">
        <f>CACashTot+CADueProcTot+CAOthRecTot+CABusLoansRecTot+CAPrepaidTot+CAOtherTot</f>
        <v>0</v>
      </c>
      <c r="C5" s="38"/>
      <c r="D5" s="76" t="s">
        <v>548</v>
      </c>
      <c r="E5" s="916">
        <f>NCEquipmentTot+NCBreedLivestockTot+NCBizVehTot+NCLandTot+NCBuildingsTot+NCRETot+NCOthBizTot</f>
        <v>0</v>
      </c>
      <c r="F5" s="19"/>
      <c r="G5" s="1" t="s">
        <v>248</v>
      </c>
      <c r="H5" s="917">
        <f>PersCashTot+PersStockTot+PersLoanRTot+PersPropTot+PersVehicleTot+PersLifeInsTot+PersRETot+PersRetireTot+PersOthTot</f>
        <v>0</v>
      </c>
    </row>
    <row r="6" spans="1:9" ht="15" customHeight="1" x14ac:dyDescent="0.2">
      <c r="A6" s="1"/>
      <c r="B6" s="40"/>
      <c r="C6" s="38"/>
      <c r="D6" s="76"/>
      <c r="E6" s="32"/>
      <c r="F6" s="19"/>
      <c r="G6" s="1"/>
      <c r="H6" s="73"/>
    </row>
    <row r="7" spans="1:9" ht="15" customHeight="1" thickBot="1" x14ac:dyDescent="0.25">
      <c r="A7" s="472" t="s">
        <v>167</v>
      </c>
      <c r="B7" s="473" t="s">
        <v>75</v>
      </c>
      <c r="C7" s="38"/>
      <c r="D7" s="474" t="s">
        <v>247</v>
      </c>
      <c r="E7" s="473" t="s">
        <v>75</v>
      </c>
      <c r="F7" s="39"/>
      <c r="G7" s="472" t="s">
        <v>34</v>
      </c>
      <c r="H7" s="473" t="s">
        <v>75</v>
      </c>
      <c r="I7" s="39"/>
    </row>
    <row r="8" spans="1:9" s="17" customFormat="1" ht="15" customHeight="1" thickTop="1" x14ac:dyDescent="0.2">
      <c r="A8" s="299" t="s">
        <v>51</v>
      </c>
      <c r="B8" s="300"/>
      <c r="C8" s="16"/>
      <c r="D8" s="299" t="s">
        <v>247</v>
      </c>
      <c r="E8" s="305"/>
      <c r="F8" s="16"/>
      <c r="G8" s="299"/>
      <c r="H8" s="305"/>
      <c r="I8" s="20"/>
    </row>
    <row r="9" spans="1:9" s="17" customFormat="1" ht="15" customHeight="1" x14ac:dyDescent="0.2">
      <c r="A9" s="301" t="s">
        <v>89</v>
      </c>
      <c r="B9" s="302"/>
      <c r="C9" s="16"/>
      <c r="D9" s="301"/>
      <c r="E9" s="306"/>
      <c r="F9" s="16"/>
      <c r="G9" s="301"/>
      <c r="H9" s="306"/>
      <c r="I9" s="20"/>
    </row>
    <row r="10" spans="1:9" s="17" customFormat="1" ht="15" customHeight="1" x14ac:dyDescent="0.2">
      <c r="A10" s="303"/>
      <c r="B10" s="304"/>
      <c r="C10" s="16"/>
      <c r="D10" s="303"/>
      <c r="E10" s="307"/>
      <c r="F10" s="16"/>
      <c r="G10" s="303"/>
      <c r="H10" s="307"/>
      <c r="I10" s="20"/>
    </row>
    <row r="11" spans="1:9" s="17" customFormat="1" ht="15" customHeight="1" x14ac:dyDescent="0.2">
      <c r="A11" s="301"/>
      <c r="B11" s="302"/>
      <c r="C11" s="16"/>
      <c r="D11" s="301"/>
      <c r="E11" s="306"/>
      <c r="F11" s="16"/>
      <c r="G11" s="301"/>
      <c r="H11" s="306"/>
      <c r="I11" s="20"/>
    </row>
    <row r="12" spans="1:9" s="17" customFormat="1" ht="15" customHeight="1" x14ac:dyDescent="0.2">
      <c r="A12" s="230" t="str">
        <f>CONCATENATE("Sub-Total ",A7)</f>
        <v>Sub-Total Cash (cash, business checking &amp; savings accounts)</v>
      </c>
      <c r="B12" s="235">
        <f>SUM('Asset Entry'!$B$8:$B$11)</f>
        <v>0</v>
      </c>
      <c r="C12" s="16"/>
      <c r="D12" s="230" t="str">
        <f>CONCATENATE("Sub-Total ",D7)</f>
        <v>Sub-Total Equipment</v>
      </c>
      <c r="E12" s="232">
        <f>SUM('Asset Entry'!$E$8:$E$11)</f>
        <v>0</v>
      </c>
      <c r="F12" s="16"/>
      <c r="G12" s="230" t="str">
        <f>CONCATENATE("Sub-Total ",G7)</f>
        <v>Sub-Total Cash in Personal Accounts</v>
      </c>
      <c r="H12" s="231">
        <f>SUM('Asset Entry'!$H$8:$H$11)</f>
        <v>0</v>
      </c>
      <c r="I12" s="20"/>
    </row>
    <row r="13" spans="1:9" s="17" customFormat="1" ht="15" customHeight="1" x14ac:dyDescent="0.2">
      <c r="A13" s="70"/>
      <c r="B13" s="40"/>
      <c r="C13" s="16"/>
      <c r="D13" s="77"/>
      <c r="E13" s="73"/>
      <c r="F13" s="16"/>
      <c r="G13" s="35"/>
      <c r="H13" s="74"/>
      <c r="I13" s="20"/>
    </row>
    <row r="14" spans="1:9" s="17" customFormat="1" ht="15" customHeight="1" thickBot="1" x14ac:dyDescent="0.25">
      <c r="A14" s="472" t="s">
        <v>1</v>
      </c>
      <c r="B14" s="473" t="s">
        <v>75</v>
      </c>
      <c r="C14" s="16"/>
      <c r="D14" s="475" t="s">
        <v>250</v>
      </c>
      <c r="E14" s="476" t="s">
        <v>75</v>
      </c>
      <c r="F14" s="16"/>
      <c r="G14" s="472" t="s">
        <v>36</v>
      </c>
      <c r="H14" s="473" t="s">
        <v>75</v>
      </c>
      <c r="I14" s="20"/>
    </row>
    <row r="15" spans="1:9" s="17" customFormat="1" ht="15" customHeight="1" thickTop="1" x14ac:dyDescent="0.2">
      <c r="A15" s="299"/>
      <c r="B15" s="305"/>
      <c r="C15" s="16"/>
      <c r="D15" s="308"/>
      <c r="E15" s="309"/>
      <c r="F15" s="16"/>
      <c r="G15" s="299"/>
      <c r="H15" s="305"/>
      <c r="I15" s="20"/>
    </row>
    <row r="16" spans="1:9" s="17" customFormat="1" ht="15" customHeight="1" x14ac:dyDescent="0.2">
      <c r="A16" s="301"/>
      <c r="B16" s="302"/>
      <c r="C16" s="16"/>
      <c r="D16" s="310"/>
      <c r="E16" s="311"/>
      <c r="F16" s="16"/>
      <c r="G16" s="301"/>
      <c r="H16" s="306"/>
      <c r="I16" s="20"/>
    </row>
    <row r="17" spans="1:9" ht="15" customHeight="1" x14ac:dyDescent="0.2">
      <c r="A17" s="303"/>
      <c r="B17" s="304"/>
      <c r="C17" s="19"/>
      <c r="D17" s="312"/>
      <c r="E17" s="313"/>
      <c r="F17" s="19"/>
      <c r="G17" s="303"/>
      <c r="H17" s="307"/>
      <c r="I17" s="26"/>
    </row>
    <row r="18" spans="1:9" ht="15" customHeight="1" x14ac:dyDescent="0.2">
      <c r="A18" s="301"/>
      <c r="B18" s="302"/>
      <c r="C18" s="19"/>
      <c r="D18" s="310"/>
      <c r="E18" s="311"/>
      <c r="F18" s="19"/>
      <c r="G18" s="301"/>
      <c r="H18" s="306"/>
      <c r="I18" s="26"/>
    </row>
    <row r="19" spans="1:9" ht="15" customHeight="1" x14ac:dyDescent="0.2">
      <c r="A19" s="230" t="str">
        <f>CONCATENATE("Sub-Total ",A14)</f>
        <v>Sub-Total Due from Processors</v>
      </c>
      <c r="B19" s="231">
        <f>SUM('Asset Entry'!$B$15:$B$18)</f>
        <v>0</v>
      </c>
      <c r="C19" s="19"/>
      <c r="D19" s="230" t="str">
        <f>CONCATENATE("Sub-Total ",D14)</f>
        <v>Sub-Total Breeding Livestock</v>
      </c>
      <c r="E19" s="236">
        <f>SUM('Asset Entry'!$E$15:$E$18)</f>
        <v>0</v>
      </c>
      <c r="F19" s="19"/>
      <c r="G19" s="230" t="str">
        <f>CONCATENATE("Sub-Total ",G14)</f>
        <v>Sub-Total Stocks &amp; Bonds</v>
      </c>
      <c r="H19" s="237">
        <f>SUM('Asset Entry'!$H$15:$H$18)</f>
        <v>0</v>
      </c>
      <c r="I19" s="26"/>
    </row>
    <row r="20" spans="1:9" ht="15" customHeight="1" x14ac:dyDescent="0.2">
      <c r="A20" s="70"/>
      <c r="B20" s="40"/>
      <c r="C20" s="19"/>
      <c r="D20" s="78"/>
      <c r="E20" s="79"/>
      <c r="F20" s="19"/>
      <c r="G20" s="70"/>
      <c r="H20" s="40"/>
      <c r="I20" s="26"/>
    </row>
    <row r="21" spans="1:9" s="17" customFormat="1" ht="15" customHeight="1" thickBot="1" x14ac:dyDescent="0.25">
      <c r="A21" s="472" t="s">
        <v>111</v>
      </c>
      <c r="B21" s="473" t="s">
        <v>75</v>
      </c>
      <c r="C21" s="16"/>
      <c r="D21" s="474" t="s">
        <v>20</v>
      </c>
      <c r="E21" s="473" t="s">
        <v>75</v>
      </c>
      <c r="F21" s="16"/>
      <c r="G21" s="472" t="s">
        <v>170</v>
      </c>
      <c r="H21" s="473" t="s">
        <v>75</v>
      </c>
      <c r="I21" s="20"/>
    </row>
    <row r="22" spans="1:9" s="17" customFormat="1" ht="15" customHeight="1" thickTop="1" x14ac:dyDescent="0.2">
      <c r="A22" s="299"/>
      <c r="B22" s="305"/>
      <c r="C22" s="16"/>
      <c r="D22" s="299"/>
      <c r="E22" s="305"/>
      <c r="F22" s="16"/>
      <c r="G22" s="299"/>
      <c r="H22" s="305"/>
      <c r="I22" s="20"/>
    </row>
    <row r="23" spans="1:9" ht="15" customHeight="1" x14ac:dyDescent="0.2">
      <c r="A23" s="301"/>
      <c r="B23" s="306"/>
      <c r="C23" s="19"/>
      <c r="D23" s="301"/>
      <c r="E23" s="314"/>
      <c r="F23" s="19"/>
      <c r="G23" s="301"/>
      <c r="H23" s="306"/>
      <c r="I23" s="26"/>
    </row>
    <row r="24" spans="1:9" s="17" customFormat="1" ht="15" customHeight="1" x14ac:dyDescent="0.2">
      <c r="A24" s="303"/>
      <c r="B24" s="307"/>
      <c r="C24" s="16"/>
      <c r="D24" s="303"/>
      <c r="E24" s="315"/>
      <c r="F24" s="16"/>
      <c r="G24" s="303"/>
      <c r="H24" s="307"/>
      <c r="I24" s="20"/>
    </row>
    <row r="25" spans="1:9" s="17" customFormat="1" ht="15" customHeight="1" x14ac:dyDescent="0.2">
      <c r="A25" s="301"/>
      <c r="B25" s="306"/>
      <c r="C25" s="16"/>
      <c r="D25" s="301"/>
      <c r="E25" s="314"/>
      <c r="F25" s="16"/>
      <c r="G25" s="301"/>
      <c r="H25" s="306"/>
      <c r="I25" s="20"/>
    </row>
    <row r="26" spans="1:9" s="17" customFormat="1" ht="15" customHeight="1" x14ac:dyDescent="0.2">
      <c r="A26" s="230" t="str">
        <f>CONCATENATE("Sub-Total ",A21)</f>
        <v>Sub-Total Other Business Accounts Receivables</v>
      </c>
      <c r="B26" s="231">
        <f>SUM('Asset Entry'!$B$22:$B$25)</f>
        <v>0</v>
      </c>
      <c r="C26" s="16"/>
      <c r="D26" s="230" t="str">
        <f>CONCATENATE("Sub-Total ",D21)</f>
        <v>Sub-Total Business Vehicles</v>
      </c>
      <c r="E26" s="236">
        <f>SUM('Asset Entry'!$E$22:$E$25)</f>
        <v>0</v>
      </c>
      <c r="F26" s="16"/>
      <c r="G26" s="230" t="str">
        <f>CONCATENATE("Sub-Total ",G21)</f>
        <v>Sub-Total Loans Receivable (personal loans)</v>
      </c>
      <c r="H26" s="231">
        <f>SUM('Asset Entry'!$H$22:$H$25)</f>
        <v>0</v>
      </c>
      <c r="I26" s="20"/>
    </row>
    <row r="27" spans="1:9" s="17" customFormat="1" ht="15" customHeight="1" x14ac:dyDescent="0.2">
      <c r="A27" s="23"/>
      <c r="B27" s="40"/>
      <c r="C27" s="16"/>
      <c r="D27" s="36"/>
      <c r="E27" s="45"/>
      <c r="F27" s="16"/>
      <c r="G27" s="70"/>
      <c r="H27" s="40"/>
      <c r="I27" s="20"/>
    </row>
    <row r="28" spans="1:9" s="17" customFormat="1" ht="15" customHeight="1" thickBot="1" x14ac:dyDescent="0.25">
      <c r="A28" s="472" t="s">
        <v>30</v>
      </c>
      <c r="B28" s="473" t="s">
        <v>75</v>
      </c>
      <c r="C28" s="16"/>
      <c r="D28" s="474" t="s">
        <v>251</v>
      </c>
      <c r="E28" s="473" t="s">
        <v>75</v>
      </c>
      <c r="F28" s="16"/>
      <c r="G28" s="475" t="s">
        <v>37</v>
      </c>
      <c r="H28" s="476" t="s">
        <v>75</v>
      </c>
      <c r="I28" s="20"/>
    </row>
    <row r="29" spans="1:9" ht="15" customHeight="1" thickTop="1" x14ac:dyDescent="0.2">
      <c r="A29" s="299"/>
      <c r="B29" s="305"/>
      <c r="D29" s="299"/>
      <c r="E29" s="305"/>
      <c r="F29" s="16"/>
      <c r="G29" s="308"/>
      <c r="H29" s="309"/>
      <c r="I29" s="20"/>
    </row>
    <row r="30" spans="1:9" ht="15" customHeight="1" x14ac:dyDescent="0.2">
      <c r="A30" s="301"/>
      <c r="B30" s="306"/>
      <c r="D30" s="301"/>
      <c r="E30" s="306"/>
      <c r="F30" s="16"/>
      <c r="G30" s="310"/>
      <c r="H30" s="311"/>
      <c r="I30" s="20"/>
    </row>
    <row r="31" spans="1:9" s="17" customFormat="1" ht="15" customHeight="1" x14ac:dyDescent="0.2">
      <c r="A31" s="303"/>
      <c r="B31" s="307"/>
      <c r="C31" s="16"/>
      <c r="D31" s="303"/>
      <c r="E31" s="307"/>
      <c r="F31" s="16"/>
      <c r="G31" s="312"/>
      <c r="H31" s="313"/>
    </row>
    <row r="32" spans="1:9" s="17" customFormat="1" ht="15" customHeight="1" x14ac:dyDescent="0.2">
      <c r="A32" s="301"/>
      <c r="B32" s="306"/>
      <c r="C32" s="16"/>
      <c r="D32" s="301"/>
      <c r="E32" s="306"/>
      <c r="F32" s="16"/>
      <c r="G32" s="310"/>
      <c r="H32" s="311"/>
    </row>
    <row r="33" spans="1:8" ht="15" customHeight="1" x14ac:dyDescent="0.2">
      <c r="A33" s="230" t="str">
        <f>CONCATENATE("Sub-Total ",A28)</f>
        <v>Sub-Total Business Loans Receivable</v>
      </c>
      <c r="B33" s="231">
        <f>SUM('Asset Entry'!$B$29:$B$32)</f>
        <v>0</v>
      </c>
      <c r="C33" s="19"/>
      <c r="D33" s="230" t="str">
        <f>CONCATENATE("Sub-Total ",D28)</f>
        <v>Sub-Total Land</v>
      </c>
      <c r="E33" s="232">
        <f>SUM('Asset Entry'!$E$29:$E$32)</f>
        <v>0</v>
      </c>
      <c r="F33" s="19"/>
      <c r="G33" s="230" t="str">
        <f>CONCATENATE("Sub-Total ",G28)</f>
        <v>Sub-Total Personal Property</v>
      </c>
      <c r="H33" s="233">
        <f>SUM('Asset Entry'!$H$29:$H$32)</f>
        <v>0</v>
      </c>
    </row>
    <row r="34" spans="1:8" ht="15" customHeight="1" x14ac:dyDescent="0.2">
      <c r="A34" s="70"/>
      <c r="B34" s="40"/>
      <c r="C34" s="19"/>
      <c r="D34" s="36"/>
      <c r="E34" s="45"/>
      <c r="F34" s="19"/>
      <c r="G34" s="17"/>
      <c r="H34" s="17"/>
    </row>
    <row r="35" spans="1:8" s="19" customFormat="1" ht="15" customHeight="1" thickBot="1" x14ac:dyDescent="0.25">
      <c r="A35" s="472" t="s">
        <v>29</v>
      </c>
      <c r="B35" s="473" t="s">
        <v>75</v>
      </c>
      <c r="D35" s="475" t="s">
        <v>249</v>
      </c>
      <c r="E35" s="476" t="s">
        <v>75</v>
      </c>
      <c r="G35" s="475" t="s">
        <v>24</v>
      </c>
      <c r="H35" s="476" t="s">
        <v>75</v>
      </c>
    </row>
    <row r="36" spans="1:8" s="19" customFormat="1" ht="15" customHeight="1" thickTop="1" x14ac:dyDescent="0.2">
      <c r="A36" s="299"/>
      <c r="B36" s="305"/>
      <c r="D36" s="308"/>
      <c r="E36" s="309"/>
      <c r="G36" s="308"/>
      <c r="H36" s="309"/>
    </row>
    <row r="37" spans="1:8" s="26" customFormat="1" ht="15" customHeight="1" x14ac:dyDescent="0.2">
      <c r="A37" s="301"/>
      <c r="B37" s="306"/>
      <c r="C37" s="38"/>
      <c r="D37" s="310"/>
      <c r="E37" s="311"/>
      <c r="F37" s="19"/>
      <c r="G37" s="310"/>
      <c r="H37" s="311"/>
    </row>
    <row r="38" spans="1:8" s="20" customFormat="1" ht="15" customHeight="1" x14ac:dyDescent="0.2">
      <c r="A38" s="303"/>
      <c r="B38" s="307"/>
      <c r="C38" s="25"/>
      <c r="D38" s="312"/>
      <c r="E38" s="313"/>
      <c r="F38" s="16"/>
      <c r="G38" s="312"/>
      <c r="H38" s="313"/>
    </row>
    <row r="39" spans="1:8" s="20" customFormat="1" ht="15" customHeight="1" x14ac:dyDescent="0.2">
      <c r="A39" s="301"/>
      <c r="B39" s="306"/>
      <c r="C39" s="25"/>
      <c r="D39" s="310"/>
      <c r="E39" s="311"/>
      <c r="F39" s="16"/>
      <c r="G39" s="310"/>
      <c r="H39" s="311"/>
    </row>
    <row r="40" spans="1:8" s="20" customFormat="1" ht="15" customHeight="1" x14ac:dyDescent="0.2">
      <c r="A40" s="230" t="str">
        <f>CONCATENATE("Sub-Total ",A35)</f>
        <v>Sub-Total Pre-paid Expenses</v>
      </c>
      <c r="B40" s="231">
        <f>SUM('Asset Entry'!$B$36:$B$39)</f>
        <v>0</v>
      </c>
      <c r="C40" s="25"/>
      <c r="D40" s="230" t="str">
        <f>CONCATENATE("Sub-Total ",D35)</f>
        <v>Sub-Total Buildings &amp; Improvements</v>
      </c>
      <c r="E40" s="234">
        <f>SUM('Asset Entry'!$E$36:$E$39)</f>
        <v>0</v>
      </c>
      <c r="F40" s="16"/>
      <c r="G40" s="230" t="str">
        <f>CONCATENATE("Sub-Total ",G35)</f>
        <v>Sub-Total Personal Vehicles</v>
      </c>
      <c r="H40" s="233">
        <f>SUM('Asset Entry'!$H$36:$H$39)</f>
        <v>0</v>
      </c>
    </row>
    <row r="41" spans="1:8" s="20" customFormat="1" ht="15" customHeight="1" x14ac:dyDescent="0.2">
      <c r="A41" s="35"/>
      <c r="B41" s="40"/>
      <c r="C41" s="25"/>
      <c r="D41" s="36"/>
      <c r="E41" s="45"/>
      <c r="F41" s="16"/>
      <c r="G41" s="23"/>
      <c r="H41" s="40"/>
    </row>
    <row r="42" spans="1:8" ht="15" customHeight="1" thickBot="1" x14ac:dyDescent="0.25">
      <c r="A42" s="472" t="s">
        <v>246</v>
      </c>
      <c r="B42" s="473" t="s">
        <v>75</v>
      </c>
      <c r="D42" s="474" t="s">
        <v>265</v>
      </c>
      <c r="E42" s="473" t="s">
        <v>75</v>
      </c>
      <c r="G42" s="472" t="s">
        <v>27</v>
      </c>
      <c r="H42" s="473" t="s">
        <v>75</v>
      </c>
    </row>
    <row r="43" spans="1:8" ht="15" customHeight="1" thickTop="1" x14ac:dyDescent="0.2">
      <c r="A43" s="299"/>
      <c r="B43" s="305"/>
      <c r="D43" s="299"/>
      <c r="E43" s="305"/>
      <c r="G43" s="299"/>
      <c r="H43" s="305"/>
    </row>
    <row r="44" spans="1:8" ht="15" customHeight="1" x14ac:dyDescent="0.2">
      <c r="A44" s="301"/>
      <c r="B44" s="306"/>
      <c r="D44" s="301"/>
      <c r="E44" s="314"/>
      <c r="G44" s="301"/>
      <c r="H44" s="306"/>
    </row>
    <row r="45" spans="1:8" ht="15" customHeight="1" x14ac:dyDescent="0.2">
      <c r="A45" s="303"/>
      <c r="B45" s="307"/>
      <c r="D45" s="303"/>
      <c r="E45" s="315"/>
      <c r="G45" s="303"/>
      <c r="H45" s="307"/>
    </row>
    <row r="46" spans="1:8" ht="15" customHeight="1" x14ac:dyDescent="0.2">
      <c r="A46" s="301"/>
      <c r="B46" s="306"/>
      <c r="D46" s="301"/>
      <c r="E46" s="314"/>
      <c r="G46" s="301"/>
      <c r="H46" s="306"/>
    </row>
    <row r="47" spans="1:8" ht="15" customHeight="1" x14ac:dyDescent="0.2">
      <c r="A47" s="230" t="str">
        <f>CONCATENATE("Sub-Total ",A42)</f>
        <v>Sub-Total Other Current Assets</v>
      </c>
      <c r="B47" s="231">
        <f>SUM('Asset Entry'!$B$43:$B$46)</f>
        <v>0</v>
      </c>
      <c r="D47" s="230" t="str">
        <f>CONCATENATE("Sub-Total ",D42)</f>
        <v>Sub-Total Oth Business Real Estate</v>
      </c>
      <c r="E47" s="232">
        <f>SUM('Asset Entry'!$E$43:$E$46)</f>
        <v>0</v>
      </c>
      <c r="G47" s="230" t="str">
        <f>CONCATENATE("Sub-Total ",G42)</f>
        <v>Sub-Total Cash Value of Life Insurance Policies</v>
      </c>
      <c r="H47" s="231">
        <f>SUM('Asset Entry'!$H$43:$H$46)</f>
        <v>0</v>
      </c>
    </row>
    <row r="48" spans="1:8" ht="15" customHeight="1" x14ac:dyDescent="0.2">
      <c r="A48" s="21"/>
      <c r="B48" s="40"/>
      <c r="D48" s="28"/>
      <c r="E48" s="22"/>
      <c r="G48" s="35"/>
      <c r="H48" s="40"/>
    </row>
    <row r="49" spans="1:8" ht="15" customHeight="1" thickBot="1" x14ac:dyDescent="0.25">
      <c r="A49" s="18"/>
      <c r="B49" s="40"/>
      <c r="D49" s="472" t="s">
        <v>274</v>
      </c>
      <c r="E49" s="473" t="s">
        <v>75</v>
      </c>
      <c r="G49" s="474" t="s">
        <v>23</v>
      </c>
      <c r="H49" s="473" t="s">
        <v>75</v>
      </c>
    </row>
    <row r="50" spans="1:8" ht="15" customHeight="1" thickTop="1" x14ac:dyDescent="0.2">
      <c r="A50" s="20"/>
      <c r="B50" s="20"/>
      <c r="D50" s="299"/>
      <c r="E50" s="305"/>
      <c r="G50" s="299"/>
      <c r="H50" s="305"/>
    </row>
    <row r="51" spans="1:8" ht="15" customHeight="1" x14ac:dyDescent="0.2">
      <c r="A51" s="20"/>
      <c r="B51" s="20"/>
      <c r="D51" s="301"/>
      <c r="E51" s="306"/>
      <c r="G51" s="301"/>
      <c r="H51" s="306"/>
    </row>
    <row r="52" spans="1:8" ht="15" customHeight="1" x14ac:dyDescent="0.2">
      <c r="A52" s="20"/>
      <c r="B52" s="20"/>
      <c r="D52" s="303"/>
      <c r="E52" s="307"/>
      <c r="G52" s="303"/>
      <c r="H52" s="307"/>
    </row>
    <row r="53" spans="1:8" ht="15" customHeight="1" x14ac:dyDescent="0.2">
      <c r="D53" s="301"/>
      <c r="E53" s="306"/>
      <c r="G53" s="301"/>
      <c r="H53" s="306"/>
    </row>
    <row r="54" spans="1:8" ht="15" customHeight="1" x14ac:dyDescent="0.2">
      <c r="B54" s="14"/>
      <c r="D54" s="230" t="str">
        <f>CONCATENATE("Sub-Total ",D49)</f>
        <v>Sub-Total Other Non-Current Business Assets</v>
      </c>
      <c r="E54" s="231">
        <f>SUM('Asset Entry'!$E$50:$E$53)</f>
        <v>0</v>
      </c>
      <c r="G54" s="230" t="str">
        <f>CONCATENATE("Sub-Total ",G49)</f>
        <v>Sub-Total Personal Real Estate</v>
      </c>
      <c r="H54" s="232">
        <f>SUM('Asset Entry'!$H$50:$H$53)</f>
        <v>0</v>
      </c>
    </row>
    <row r="55" spans="1:8" ht="15" customHeight="1" x14ac:dyDescent="0.2">
      <c r="B55" s="14"/>
      <c r="D55" s="16"/>
      <c r="E55" s="16"/>
      <c r="G55" s="27"/>
      <c r="H55" s="22"/>
    </row>
    <row r="56" spans="1:8" ht="15" customHeight="1" thickBot="1" x14ac:dyDescent="0.25">
      <c r="B56" s="14"/>
      <c r="G56" s="474" t="s">
        <v>35</v>
      </c>
      <c r="H56" s="473" t="s">
        <v>75</v>
      </c>
    </row>
    <row r="57" spans="1:8" ht="15" customHeight="1" thickTop="1" x14ac:dyDescent="0.2">
      <c r="B57" s="14"/>
      <c r="G57" s="299"/>
      <c r="H57" s="300"/>
    </row>
    <row r="58" spans="1:8" ht="15" customHeight="1" x14ac:dyDescent="0.2">
      <c r="B58" s="14"/>
      <c r="G58" s="301"/>
      <c r="H58" s="316"/>
    </row>
    <row r="59" spans="1:8" ht="15" customHeight="1" x14ac:dyDescent="0.2">
      <c r="B59" s="14"/>
      <c r="G59" s="303"/>
      <c r="H59" s="317"/>
    </row>
    <row r="60" spans="1:8" ht="15" customHeight="1" x14ac:dyDescent="0.2">
      <c r="B60" s="14"/>
      <c r="G60" s="301"/>
      <c r="H60" s="316"/>
    </row>
    <row r="61" spans="1:8" ht="15" customHeight="1" x14ac:dyDescent="0.2">
      <c r="B61" s="14"/>
      <c r="G61" s="230" t="str">
        <f>CONCATENATE("Sub-Total ",G56)</f>
        <v>Sub-Total Retirement Accounts</v>
      </c>
      <c r="H61" s="232">
        <f>SUM('Asset Entry'!$H$57:$H$60)</f>
        <v>0</v>
      </c>
    </row>
    <row r="62" spans="1:8" ht="15" customHeight="1" x14ac:dyDescent="0.2">
      <c r="B62" s="14"/>
      <c r="G62" s="36"/>
      <c r="H62" s="45"/>
    </row>
    <row r="63" spans="1:8" ht="15" customHeight="1" thickBot="1" x14ac:dyDescent="0.25">
      <c r="B63" s="14"/>
      <c r="G63" s="472" t="s">
        <v>112</v>
      </c>
      <c r="H63" s="473" t="s">
        <v>75</v>
      </c>
    </row>
    <row r="64" spans="1:8" ht="15" customHeight="1" thickTop="1" x14ac:dyDescent="0.2">
      <c r="B64" s="14"/>
      <c r="G64" s="299"/>
      <c r="H64" s="305"/>
    </row>
    <row r="65" spans="2:8" ht="15" customHeight="1" x14ac:dyDescent="0.2">
      <c r="B65" s="14"/>
      <c r="G65" s="301"/>
      <c r="H65" s="306"/>
    </row>
    <row r="66" spans="2:8" ht="15" customHeight="1" x14ac:dyDescent="0.2">
      <c r="B66" s="14"/>
      <c r="G66" s="303"/>
      <c r="H66" s="307"/>
    </row>
    <row r="67" spans="2:8" ht="15" customHeight="1" x14ac:dyDescent="0.2">
      <c r="B67" s="14"/>
      <c r="G67" s="301"/>
      <c r="H67" s="306"/>
    </row>
    <row r="68" spans="2:8" ht="15" customHeight="1" x14ac:dyDescent="0.2">
      <c r="B68" s="14"/>
      <c r="G68" s="230" t="str">
        <f>CONCATENATE("Sub-Total ",G63)</f>
        <v>Sub-Total Other Personal Assets</v>
      </c>
      <c r="H68" s="231">
        <f>SUM('Asset Entry'!$H$64:$H$67)</f>
        <v>0</v>
      </c>
    </row>
    <row r="69" spans="2:8" ht="15" customHeight="1" x14ac:dyDescent="0.2">
      <c r="B69" s="14"/>
      <c r="G69" s="23"/>
      <c r="H69" s="40"/>
    </row>
    <row r="70" spans="2:8" ht="15" customHeight="1" x14ac:dyDescent="0.2">
      <c r="B70" s="14"/>
    </row>
    <row r="71" spans="2:8" ht="15" customHeight="1" x14ac:dyDescent="0.2">
      <c r="B71" s="14"/>
    </row>
    <row r="72" spans="2:8" ht="15" customHeight="1" x14ac:dyDescent="0.2">
      <c r="B72" s="14"/>
    </row>
    <row r="73" spans="2:8" ht="15" customHeight="1" x14ac:dyDescent="0.2">
      <c r="B73" s="14"/>
    </row>
    <row r="74" spans="2:8" ht="15" customHeight="1" x14ac:dyDescent="0.2">
      <c r="B74" s="14"/>
    </row>
    <row r="75" spans="2:8" ht="15" customHeight="1" x14ac:dyDescent="0.2">
      <c r="B75" s="14"/>
    </row>
    <row r="76" spans="2:8" ht="15" customHeight="1" x14ac:dyDescent="0.2">
      <c r="B76" s="14"/>
    </row>
    <row r="77" spans="2:8" ht="15" customHeight="1" x14ac:dyDescent="0.2">
      <c r="B77" s="14"/>
    </row>
    <row r="78" spans="2:8" ht="15" customHeight="1" x14ac:dyDescent="0.2">
      <c r="B78" s="14"/>
    </row>
    <row r="79" spans="2:8" ht="15" customHeight="1" x14ac:dyDescent="0.2">
      <c r="B79" s="14"/>
    </row>
    <row r="80" spans="2:8" ht="15" customHeight="1" x14ac:dyDescent="0.2">
      <c r="B80" s="14"/>
    </row>
    <row r="81" spans="2:2" ht="15" customHeight="1" x14ac:dyDescent="0.2">
      <c r="B81" s="14"/>
    </row>
    <row r="82" spans="2:2" ht="15" customHeight="1" x14ac:dyDescent="0.2">
      <c r="B82" s="14"/>
    </row>
    <row r="83" spans="2:2" ht="15" customHeight="1" x14ac:dyDescent="0.2">
      <c r="B83" s="14"/>
    </row>
    <row r="84" spans="2:2" ht="15" customHeight="1" x14ac:dyDescent="0.2">
      <c r="B84" s="14"/>
    </row>
    <row r="85" spans="2:2" ht="15" customHeight="1" x14ac:dyDescent="0.2">
      <c r="B85" s="14"/>
    </row>
    <row r="86" spans="2:2" ht="15" customHeight="1" x14ac:dyDescent="0.2">
      <c r="B86" s="14"/>
    </row>
    <row r="87" spans="2:2" ht="15" customHeight="1" x14ac:dyDescent="0.2">
      <c r="B87" s="14"/>
    </row>
    <row r="88" spans="2:2" ht="15" customHeight="1" x14ac:dyDescent="0.2">
      <c r="B88" s="14"/>
    </row>
    <row r="89" spans="2:2" ht="15" customHeight="1" x14ac:dyDescent="0.2">
      <c r="B89" s="14"/>
    </row>
    <row r="90" spans="2:2" ht="15" customHeight="1" x14ac:dyDescent="0.2">
      <c r="B90" s="14"/>
    </row>
    <row r="91" spans="2:2" ht="15" customHeight="1" x14ac:dyDescent="0.2">
      <c r="B91" s="14"/>
    </row>
    <row r="92" spans="2:2" ht="15" customHeight="1" x14ac:dyDescent="0.2">
      <c r="B92" s="14"/>
    </row>
    <row r="93" spans="2:2" ht="15" customHeight="1" x14ac:dyDescent="0.2">
      <c r="B93" s="14"/>
    </row>
    <row r="94" spans="2:2" ht="15" customHeight="1" x14ac:dyDescent="0.2">
      <c r="B94" s="14"/>
    </row>
    <row r="95" spans="2:2" ht="15" customHeight="1" x14ac:dyDescent="0.2">
      <c r="B95" s="14"/>
    </row>
    <row r="96" spans="2:2" ht="15" customHeight="1" x14ac:dyDescent="0.2">
      <c r="B96" s="14"/>
    </row>
    <row r="97" spans="2:2" ht="15" customHeight="1" x14ac:dyDescent="0.2">
      <c r="B97" s="14"/>
    </row>
    <row r="98" spans="2:2" ht="15" customHeight="1" x14ac:dyDescent="0.2">
      <c r="B98" s="14"/>
    </row>
    <row r="99" spans="2:2" ht="15" customHeight="1" x14ac:dyDescent="0.2">
      <c r="B99" s="14"/>
    </row>
    <row r="100" spans="2:2" ht="15" customHeight="1" x14ac:dyDescent="0.2">
      <c r="B100" s="14"/>
    </row>
    <row r="101" spans="2:2" ht="15" customHeight="1" x14ac:dyDescent="0.2">
      <c r="B101" s="14"/>
    </row>
    <row r="102" spans="2:2" ht="15" customHeight="1" x14ac:dyDescent="0.2">
      <c r="B102" s="14"/>
    </row>
    <row r="103" spans="2:2" ht="15" customHeight="1" x14ac:dyDescent="0.2">
      <c r="B103" s="14"/>
    </row>
    <row r="104" spans="2:2" ht="15" customHeight="1" x14ac:dyDescent="0.2">
      <c r="B104" s="14"/>
    </row>
    <row r="105" spans="2:2" ht="15" customHeight="1" x14ac:dyDescent="0.2">
      <c r="B105" s="14"/>
    </row>
    <row r="106" spans="2:2" ht="15" customHeight="1" x14ac:dyDescent="0.2">
      <c r="B106" s="14"/>
    </row>
    <row r="107" spans="2:2" ht="15" customHeight="1" x14ac:dyDescent="0.2">
      <c r="B107" s="14"/>
    </row>
    <row r="108" spans="2:2" ht="15" customHeight="1" x14ac:dyDescent="0.2">
      <c r="B108" s="14"/>
    </row>
    <row r="109" spans="2:2" ht="15" customHeight="1" x14ac:dyDescent="0.2">
      <c r="B109" s="14"/>
    </row>
    <row r="110" spans="2:2" ht="15" customHeight="1" x14ac:dyDescent="0.2">
      <c r="B110" s="14"/>
    </row>
    <row r="111" spans="2:2" ht="15" customHeight="1" x14ac:dyDescent="0.2">
      <c r="B111" s="14"/>
    </row>
    <row r="112" spans="2:2" ht="15" customHeight="1" x14ac:dyDescent="0.2">
      <c r="B112" s="14"/>
    </row>
    <row r="113" spans="2:2" ht="15" customHeight="1" x14ac:dyDescent="0.2">
      <c r="B113" s="14"/>
    </row>
    <row r="114" spans="2:2" ht="15" customHeight="1" x14ac:dyDescent="0.2">
      <c r="B114" s="14"/>
    </row>
    <row r="115" spans="2:2" ht="15" customHeight="1" x14ac:dyDescent="0.2">
      <c r="B115" s="14"/>
    </row>
    <row r="116" spans="2:2" ht="15" customHeight="1" x14ac:dyDescent="0.2">
      <c r="B116" s="14"/>
    </row>
    <row r="117" spans="2:2" ht="15" customHeight="1" x14ac:dyDescent="0.2">
      <c r="B117" s="14"/>
    </row>
    <row r="118" spans="2:2" ht="15" customHeight="1" x14ac:dyDescent="0.2">
      <c r="B118" s="14"/>
    </row>
    <row r="119" spans="2:2" ht="15" customHeight="1" x14ac:dyDescent="0.2">
      <c r="B119" s="14"/>
    </row>
    <row r="120" spans="2:2" ht="15" customHeight="1" x14ac:dyDescent="0.2">
      <c r="B120" s="14"/>
    </row>
    <row r="121" spans="2:2" ht="15" customHeight="1" x14ac:dyDescent="0.2">
      <c r="B121" s="14"/>
    </row>
    <row r="122" spans="2:2" ht="15" customHeight="1" x14ac:dyDescent="0.2">
      <c r="B122" s="14"/>
    </row>
    <row r="123" spans="2:2" ht="15" customHeight="1" x14ac:dyDescent="0.2">
      <c r="B123" s="14"/>
    </row>
    <row r="124" spans="2:2" ht="15" customHeight="1" x14ac:dyDescent="0.2">
      <c r="B124" s="14"/>
    </row>
    <row r="125" spans="2:2" ht="15" customHeight="1" x14ac:dyDescent="0.2">
      <c r="B125" s="14"/>
    </row>
    <row r="126" spans="2:2" ht="15" customHeight="1" x14ac:dyDescent="0.2">
      <c r="B126" s="14"/>
    </row>
    <row r="127" spans="2:2" ht="15" customHeight="1" x14ac:dyDescent="0.2">
      <c r="B127" s="14"/>
    </row>
    <row r="128" spans="2:2" ht="15" customHeight="1" x14ac:dyDescent="0.2">
      <c r="B128" s="14"/>
    </row>
    <row r="129" spans="2:2" ht="15" customHeight="1" x14ac:dyDescent="0.2">
      <c r="B129" s="14"/>
    </row>
    <row r="130" spans="2:2" ht="15" customHeight="1" x14ac:dyDescent="0.2">
      <c r="B130" s="14"/>
    </row>
    <row r="131" spans="2:2" ht="15" customHeight="1" x14ac:dyDescent="0.2">
      <c r="B131" s="14"/>
    </row>
    <row r="132" spans="2:2" ht="15" customHeight="1" x14ac:dyDescent="0.2">
      <c r="B132" s="14"/>
    </row>
    <row r="133" spans="2:2" ht="15" customHeight="1" x14ac:dyDescent="0.2">
      <c r="B133" s="14"/>
    </row>
    <row r="134" spans="2:2" ht="15" customHeight="1" x14ac:dyDescent="0.2">
      <c r="B134" s="14"/>
    </row>
  </sheetData>
  <sheetProtection algorithmName="SHA-512" hashValue="rTG4WQed4VUNEOYHHaJlt45nzYtzfkW0JgFexLuLXO+IvABL9+J5frd1buh72rYpAW3NbaEygOuGewPrnVccbA==" saltValue="bUhsORA36etkl11aZuyfrQ==" spinCount="100000" sheet="1" objects="1" scenarios="1"/>
  <mergeCells count="2">
    <mergeCell ref="A2:B2"/>
    <mergeCell ref="G3:H3"/>
  </mergeCells>
  <phoneticPr fontId="11" type="noConversion"/>
  <pageMargins left="0.75" right="0.75" top="1" bottom="1" header="0.5" footer="0.5"/>
  <pageSetup orientation="portrait" horizontalDpi="4294967293"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CC052"/>
  </sheetPr>
  <dimension ref="A1:H37"/>
  <sheetViews>
    <sheetView showGridLines="0" workbookViewId="0">
      <pane ySplit="6" topLeftCell="A7" activePane="bottomLeft" state="frozen"/>
      <selection pane="bottomLeft" activeCell="A8" sqref="A8"/>
    </sheetView>
  </sheetViews>
  <sheetFormatPr defaultColWidth="10" defaultRowHeight="12.75" x14ac:dyDescent="0.2"/>
  <cols>
    <col min="1" max="1" width="49.7109375" customWidth="1"/>
    <col min="2" max="2" width="8.140625" customWidth="1"/>
    <col min="3" max="3" width="8.7109375" customWidth="1"/>
    <col min="4" max="4" width="16.7109375" bestFit="1" customWidth="1"/>
    <col min="5" max="5" width="11.85546875" bestFit="1" customWidth="1"/>
    <col min="6" max="6" width="49.7109375" customWidth="1"/>
    <col min="7" max="7" width="16.7109375" customWidth="1"/>
    <col min="8" max="8" width="3.7109375" customWidth="1"/>
    <col min="9" max="9" width="49.7109375" customWidth="1"/>
    <col min="10" max="10" width="16.7109375" customWidth="1"/>
    <col min="11" max="11" width="12" customWidth="1"/>
  </cols>
  <sheetData>
    <row r="1" spans="1:8" s="14" customFormat="1" ht="20.25" customHeight="1" x14ac:dyDescent="0.3">
      <c r="A1" s="4" t="s">
        <v>266</v>
      </c>
      <c r="B1" s="4"/>
      <c r="C1" s="4"/>
      <c r="D1" s="22"/>
      <c r="E1" s="15"/>
      <c r="F1" s="15"/>
      <c r="G1" s="15"/>
      <c r="H1" s="15"/>
    </row>
    <row r="2" spans="1:8" s="14" customFormat="1" ht="15" customHeight="1" x14ac:dyDescent="0.2">
      <c r="A2" s="948" t="str">
        <f>IF(Name&gt;"",Name,IF(BusName&gt;"",BusName,""))</f>
        <v/>
      </c>
      <c r="B2" s="948"/>
      <c r="C2" s="948"/>
      <c r="D2" s="948"/>
      <c r="E2" s="15"/>
      <c r="F2" s="15"/>
      <c r="G2" s="15"/>
      <c r="H2" s="15"/>
    </row>
    <row r="3" spans="1:8" s="14" customFormat="1" ht="15" customHeight="1" x14ac:dyDescent="0.2">
      <c r="A3" s="81" t="s">
        <v>87</v>
      </c>
      <c r="B3" s="81"/>
      <c r="C3" s="81"/>
      <c r="D3" s="950" t="str">
        <f>CONCATENATE("Balances as of ",TEXT(GenInfoBSDate,"mm/dd/yyyy"))</f>
        <v>Balances as of 12/31/2016</v>
      </c>
      <c r="E3" s="950"/>
      <c r="F3" s="19"/>
      <c r="G3" s="19"/>
      <c r="H3" s="19"/>
    </row>
    <row r="4" spans="1:8" s="14" customFormat="1" ht="15" customHeight="1" x14ac:dyDescent="0.2">
      <c r="E4" s="38"/>
      <c r="F4" s="38"/>
      <c r="G4" s="38"/>
      <c r="H4" s="19"/>
    </row>
    <row r="5" spans="1:8" s="14" customFormat="1" ht="15" customHeight="1" x14ac:dyDescent="0.2">
      <c r="A5" s="1"/>
      <c r="B5" s="1"/>
      <c r="C5" s="1"/>
      <c r="D5" s="73"/>
      <c r="E5" s="38"/>
    </row>
    <row r="6" spans="1:8" s="14" customFormat="1" ht="15" customHeight="1" x14ac:dyDescent="0.2">
      <c r="A6" s="1"/>
      <c r="B6" s="1"/>
      <c r="C6" s="1"/>
      <c r="D6" s="40"/>
      <c r="E6" s="38"/>
    </row>
    <row r="7" spans="1:8" s="14" customFormat="1" ht="15" customHeight="1" x14ac:dyDescent="0.2">
      <c r="A7" s="472" t="s">
        <v>267</v>
      </c>
      <c r="B7" s="473" t="s">
        <v>268</v>
      </c>
      <c r="C7" s="473" t="s">
        <v>549</v>
      </c>
      <c r="D7" s="473" t="s">
        <v>75</v>
      </c>
      <c r="E7" s="38"/>
      <c r="F7" s="39"/>
    </row>
    <row r="8" spans="1:8" s="17" customFormat="1" ht="15" customHeight="1" x14ac:dyDescent="0.2">
      <c r="A8" s="726"/>
      <c r="B8" s="728"/>
      <c r="C8" s="608"/>
      <c r="D8" s="595">
        <f>B8*C8</f>
        <v>0</v>
      </c>
      <c r="E8" s="16"/>
      <c r="F8" s="20"/>
    </row>
    <row r="9" spans="1:8" s="17" customFormat="1" ht="15" customHeight="1" x14ac:dyDescent="0.2">
      <c r="A9" s="726"/>
      <c r="B9" s="728"/>
      <c r="C9" s="608"/>
      <c r="D9" s="595">
        <f t="shared" ref="D9:D14" si="0">B9*C9</f>
        <v>0</v>
      </c>
      <c r="E9" s="16"/>
      <c r="F9" s="20"/>
    </row>
    <row r="10" spans="1:8" s="17" customFormat="1" ht="15" customHeight="1" x14ac:dyDescent="0.2">
      <c r="A10" s="726"/>
      <c r="B10" s="728"/>
      <c r="C10" s="608"/>
      <c r="D10" s="595">
        <f t="shared" si="0"/>
        <v>0</v>
      </c>
      <c r="E10" s="16"/>
      <c r="F10" s="20"/>
    </row>
    <row r="11" spans="1:8" s="17" customFormat="1" ht="15" customHeight="1" x14ac:dyDescent="0.2">
      <c r="A11" s="726"/>
      <c r="B11" s="728"/>
      <c r="C11" s="608"/>
      <c r="D11" s="595">
        <f t="shared" si="0"/>
        <v>0</v>
      </c>
      <c r="E11" s="16"/>
      <c r="F11" s="20"/>
    </row>
    <row r="12" spans="1:8" s="17" customFormat="1" ht="15" customHeight="1" x14ac:dyDescent="0.2">
      <c r="A12" s="726"/>
      <c r="B12" s="728"/>
      <c r="C12" s="608"/>
      <c r="D12" s="595">
        <f t="shared" si="0"/>
        <v>0</v>
      </c>
      <c r="E12" s="16"/>
      <c r="F12" s="20"/>
    </row>
    <row r="13" spans="1:8" s="17" customFormat="1" ht="15" customHeight="1" x14ac:dyDescent="0.2">
      <c r="A13" s="727"/>
      <c r="B13" s="729"/>
      <c r="C13" s="609"/>
      <c r="D13" s="596">
        <f t="shared" si="0"/>
        <v>0</v>
      </c>
      <c r="E13" s="16"/>
      <c r="F13" s="20"/>
    </row>
    <row r="14" spans="1:8" s="17" customFormat="1" ht="15" customHeight="1" x14ac:dyDescent="0.2">
      <c r="A14" s="726"/>
      <c r="B14" s="728"/>
      <c r="C14" s="608"/>
      <c r="D14" s="595">
        <f t="shared" si="0"/>
        <v>0</v>
      </c>
      <c r="E14" s="16"/>
      <c r="F14" s="20"/>
    </row>
    <row r="15" spans="1:8" s="17" customFormat="1" ht="15" customHeight="1" x14ac:dyDescent="0.2">
      <c r="A15" s="230" t="str">
        <f>CONCATENATE("Sub-Total ",A7)</f>
        <v>Sub-Total Crop Inventory</v>
      </c>
      <c r="B15" s="230"/>
      <c r="C15" s="230"/>
      <c r="D15" s="235">
        <f>SUM(D8:D14)</f>
        <v>0</v>
      </c>
      <c r="E15" s="16"/>
      <c r="F15" s="20"/>
    </row>
    <row r="18" spans="1:5" ht="15" customHeight="1" x14ac:dyDescent="0.2">
      <c r="A18" s="472" t="s">
        <v>269</v>
      </c>
      <c r="B18" s="473" t="s">
        <v>268</v>
      </c>
      <c r="C18" s="473" t="s">
        <v>270</v>
      </c>
      <c r="D18" s="473" t="s">
        <v>271</v>
      </c>
      <c r="E18" s="473" t="s">
        <v>75</v>
      </c>
    </row>
    <row r="19" spans="1:5" x14ac:dyDescent="0.2">
      <c r="A19" s="726"/>
      <c r="B19" s="726"/>
      <c r="C19" s="726"/>
      <c r="D19" s="730"/>
      <c r="E19" s="595">
        <f>(B19*C19)*(D19/100)</f>
        <v>0</v>
      </c>
    </row>
    <row r="20" spans="1:5" x14ac:dyDescent="0.2">
      <c r="A20" s="726"/>
      <c r="B20" s="726"/>
      <c r="C20" s="726"/>
      <c r="D20" s="303"/>
      <c r="E20" s="595">
        <f t="shared" ref="E20:E25" si="1">(B20*C20)*(D20/100)</f>
        <v>0</v>
      </c>
    </row>
    <row r="21" spans="1:5" x14ac:dyDescent="0.2">
      <c r="A21" s="726"/>
      <c r="B21" s="726"/>
      <c r="C21" s="726"/>
      <c r="D21" s="303"/>
      <c r="E21" s="595">
        <f t="shared" si="1"/>
        <v>0</v>
      </c>
    </row>
    <row r="22" spans="1:5" x14ac:dyDescent="0.2">
      <c r="A22" s="726"/>
      <c r="B22" s="726"/>
      <c r="C22" s="726"/>
      <c r="D22" s="303"/>
      <c r="E22" s="595">
        <f t="shared" si="1"/>
        <v>0</v>
      </c>
    </row>
    <row r="23" spans="1:5" x14ac:dyDescent="0.2">
      <c r="A23" s="726"/>
      <c r="B23" s="726"/>
      <c r="C23" s="726"/>
      <c r="D23" s="303"/>
      <c r="E23" s="595">
        <f t="shared" si="1"/>
        <v>0</v>
      </c>
    </row>
    <row r="24" spans="1:5" x14ac:dyDescent="0.2">
      <c r="A24" s="727"/>
      <c r="B24" s="727"/>
      <c r="C24" s="727"/>
      <c r="D24" s="303"/>
      <c r="E24" s="596">
        <f t="shared" si="1"/>
        <v>0</v>
      </c>
    </row>
    <row r="25" spans="1:5" x14ac:dyDescent="0.2">
      <c r="A25" s="726"/>
      <c r="B25" s="726"/>
      <c r="C25" s="726"/>
      <c r="D25" s="301"/>
      <c r="E25" s="595">
        <f t="shared" si="1"/>
        <v>0</v>
      </c>
    </row>
    <row r="26" spans="1:5" x14ac:dyDescent="0.2">
      <c r="A26" s="230" t="str">
        <f>CONCATENATE("Sub-Total ",A18)</f>
        <v>Sub-Total Livestock Held for Sale</v>
      </c>
      <c r="B26" s="230"/>
      <c r="C26" s="230"/>
      <c r="D26" s="230"/>
      <c r="E26" s="235">
        <f>SUM(E19:E25)</f>
        <v>0</v>
      </c>
    </row>
    <row r="29" spans="1:5" ht="15" customHeight="1" x14ac:dyDescent="0.2">
      <c r="A29" s="472" t="s">
        <v>522</v>
      </c>
      <c r="B29" s="473" t="s">
        <v>268</v>
      </c>
      <c r="C29" s="473" t="s">
        <v>549</v>
      </c>
      <c r="D29" s="473" t="s">
        <v>75</v>
      </c>
    </row>
    <row r="30" spans="1:5" x14ac:dyDescent="0.2">
      <c r="A30" s="726"/>
      <c r="B30" s="728"/>
      <c r="C30" s="301"/>
      <c r="D30" s="595">
        <f>B30*C30</f>
        <v>0</v>
      </c>
    </row>
    <row r="31" spans="1:5" x14ac:dyDescent="0.2">
      <c r="A31" s="726"/>
      <c r="B31" s="728"/>
      <c r="C31" s="301"/>
      <c r="D31" s="595">
        <f t="shared" ref="D31:D36" si="2">B31*C31</f>
        <v>0</v>
      </c>
    </row>
    <row r="32" spans="1:5" x14ac:dyDescent="0.2">
      <c r="A32" s="726"/>
      <c r="B32" s="728"/>
      <c r="C32" s="301"/>
      <c r="D32" s="595">
        <f t="shared" si="2"/>
        <v>0</v>
      </c>
    </row>
    <row r="33" spans="1:4" x14ac:dyDescent="0.2">
      <c r="A33" s="726"/>
      <c r="B33" s="728"/>
      <c r="C33" s="301"/>
      <c r="D33" s="595">
        <f t="shared" si="2"/>
        <v>0</v>
      </c>
    </row>
    <row r="34" spans="1:4" x14ac:dyDescent="0.2">
      <c r="A34" s="726"/>
      <c r="B34" s="728"/>
      <c r="C34" s="301"/>
      <c r="D34" s="595">
        <f t="shared" si="2"/>
        <v>0</v>
      </c>
    </row>
    <row r="35" spans="1:4" x14ac:dyDescent="0.2">
      <c r="A35" s="727"/>
      <c r="B35" s="729"/>
      <c r="C35" s="303"/>
      <c r="D35" s="596">
        <f t="shared" si="2"/>
        <v>0</v>
      </c>
    </row>
    <row r="36" spans="1:4" x14ac:dyDescent="0.2">
      <c r="A36" s="726"/>
      <c r="B36" s="728"/>
      <c r="C36" s="301"/>
      <c r="D36" s="595">
        <f t="shared" si="2"/>
        <v>0</v>
      </c>
    </row>
    <row r="37" spans="1:4" x14ac:dyDescent="0.2">
      <c r="A37" s="230" t="str">
        <f>CONCATENATE("Sub-Total ",LEFT(A29,15))</f>
        <v>Sub-Total Other Inventory</v>
      </c>
      <c r="B37" s="230"/>
      <c r="C37" s="230"/>
      <c r="D37" s="235">
        <f>SUM(D30:D36)</f>
        <v>0</v>
      </c>
    </row>
  </sheetData>
  <sheetProtection algorithmName="SHA-512" hashValue="c1tdkU64/Dm21rIfm1x1vpIhjLiZW1ybQoKIZbRXxiLvpfXPB6fixunxGW3Tm3rkcnl/g5XMgcH2+oOXpP6huA==" saltValue="p6NRsGg1Rf3Kvx7voMLKHA==" spinCount="100000" sheet="1" objects="1" scenarios="1"/>
  <mergeCells count="2">
    <mergeCell ref="A2:D2"/>
    <mergeCell ref="D3:E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CC052"/>
  </sheetPr>
  <dimension ref="A1:K149"/>
  <sheetViews>
    <sheetView showGridLines="0" workbookViewId="0">
      <pane ySplit="5" topLeftCell="A6" activePane="bottomLeft" state="frozen"/>
      <selection pane="bottomLeft" activeCell="B8" sqref="B8"/>
    </sheetView>
  </sheetViews>
  <sheetFormatPr defaultColWidth="8.85546875" defaultRowHeight="15" customHeight="1" x14ac:dyDescent="0.2"/>
  <cols>
    <col min="1" max="1" width="49.7109375" style="69" customWidth="1"/>
    <col min="2" max="2" width="16.7109375" style="88" customWidth="1"/>
    <col min="3" max="3" width="8.85546875" style="69"/>
    <col min="4" max="4" width="49.7109375" style="69" customWidth="1"/>
    <col min="5" max="5" width="16.7109375" style="69" customWidth="1"/>
    <col min="6" max="7" width="8.85546875" style="69"/>
    <col min="8" max="8" width="10" style="69" bestFit="1" customWidth="1"/>
    <col min="9" max="9" width="12.42578125" style="69" customWidth="1"/>
    <col min="10" max="10" width="14.85546875" style="69" bestFit="1" customWidth="1"/>
    <col min="11" max="11" width="13.28515625" style="69" customWidth="1"/>
    <col min="12" max="16384" width="8.85546875" style="69"/>
  </cols>
  <sheetData>
    <row r="1" spans="1:11" s="41" customFormat="1" ht="27" customHeight="1" x14ac:dyDescent="0.3">
      <c r="A1" s="82" t="s">
        <v>161</v>
      </c>
      <c r="B1" s="83"/>
      <c r="E1" s="37"/>
    </row>
    <row r="2" spans="1:11" s="29" customFormat="1" ht="15" customHeight="1" x14ac:dyDescent="0.2">
      <c r="A2" s="951" t="str">
        <f>IF(Name&gt;"",Name,IF(BusName&gt;"",BusName,""))</f>
        <v/>
      </c>
      <c r="B2" s="951"/>
    </row>
    <row r="3" spans="1:11" s="29" customFormat="1" ht="15" customHeight="1" x14ac:dyDescent="0.2">
      <c r="A3" s="81" t="s">
        <v>87</v>
      </c>
      <c r="B3" s="80">
        <f ca="1">GenDate</f>
        <v>42856</v>
      </c>
      <c r="C3" s="84"/>
      <c r="D3" s="933" t="s">
        <v>556</v>
      </c>
      <c r="E3" s="934">
        <f>GenInfoBSDate</f>
        <v>42735</v>
      </c>
    </row>
    <row r="4" spans="1:11" s="29" customFormat="1" ht="11.25" customHeight="1" x14ac:dyDescent="0.2">
      <c r="A4" s="31"/>
      <c r="B4" s="85"/>
      <c r="C4" s="84"/>
    </row>
    <row r="5" spans="1:11" s="29" customFormat="1" ht="15" customHeight="1" x14ac:dyDescent="0.2">
      <c r="A5" s="76" t="s">
        <v>253</v>
      </c>
      <c r="C5" s="84"/>
      <c r="D5" s="76" t="s">
        <v>38</v>
      </c>
      <c r="F5" s="39"/>
    </row>
    <row r="6" spans="1:11" s="29" customFormat="1" ht="15" customHeight="1" x14ac:dyDescent="0.2">
      <c r="A6" s="76"/>
      <c r="C6" s="84"/>
      <c r="D6" s="71"/>
      <c r="E6" s="75"/>
      <c r="F6" s="39"/>
    </row>
    <row r="7" spans="1:11" s="14" customFormat="1" ht="15" customHeight="1" thickBot="1" x14ac:dyDescent="0.25">
      <c r="A7" s="472" t="s">
        <v>171</v>
      </c>
      <c r="B7" s="477" t="s">
        <v>77</v>
      </c>
      <c r="C7" s="32"/>
      <c r="D7" s="472" t="s">
        <v>90</v>
      </c>
      <c r="E7" s="477" t="s">
        <v>77</v>
      </c>
      <c r="F7" s="32"/>
    </row>
    <row r="8" spans="1:11" s="17" customFormat="1" ht="15" customHeight="1" thickTop="1" x14ac:dyDescent="0.2">
      <c r="A8" s="299"/>
      <c r="B8" s="318"/>
      <c r="C8" s="34"/>
      <c r="D8" s="662" t="s">
        <v>442</v>
      </c>
      <c r="E8" s="663">
        <f>LoanAccrIntPers</f>
        <v>0</v>
      </c>
      <c r="F8" s="34"/>
    </row>
    <row r="9" spans="1:11" s="17" customFormat="1" ht="15" customHeight="1" x14ac:dyDescent="0.2">
      <c r="A9" s="301"/>
      <c r="B9" s="319"/>
      <c r="C9" s="33"/>
      <c r="D9" s="301"/>
      <c r="E9" s="319"/>
      <c r="F9" s="33"/>
      <c r="G9" s="20"/>
    </row>
    <row r="10" spans="1:11" s="14" customFormat="1" ht="15" customHeight="1" x14ac:dyDescent="0.2">
      <c r="A10" s="303"/>
      <c r="B10" s="320"/>
      <c r="C10" s="32"/>
      <c r="D10" s="303"/>
      <c r="E10" s="320"/>
      <c r="F10" s="32"/>
      <c r="G10" s="26"/>
      <c r="H10" s="26"/>
      <c r="I10" s="26"/>
    </row>
    <row r="11" spans="1:11" s="14" customFormat="1" ht="15" customHeight="1" x14ac:dyDescent="0.2">
      <c r="A11" s="301"/>
      <c r="B11" s="319"/>
      <c r="C11" s="32"/>
      <c r="D11" s="301"/>
      <c r="E11" s="319"/>
      <c r="F11" s="32"/>
      <c r="G11" s="26"/>
      <c r="H11" s="26"/>
      <c r="I11" s="26"/>
    </row>
    <row r="12" spans="1:11" s="14" customFormat="1" ht="15" customHeight="1" x14ac:dyDescent="0.2">
      <c r="A12" s="230" t="str">
        <f>CONCATENATE("Sub-Total ",A7)</f>
        <v>Sub-Total Accounts Payable (processor,suppliers, etc.)</v>
      </c>
      <c r="B12" s="231">
        <f>SUM('Liability Entry'!$B$8:$B$11)</f>
        <v>0</v>
      </c>
      <c r="C12" s="32"/>
      <c r="D12" s="230" t="str">
        <f>CONCATENATE("Sub-Total ",D7)</f>
        <v>Sub-Total Personal Accounts Payable</v>
      </c>
      <c r="E12" s="231">
        <f>SUM('Liability Entry'!$E$8:$E$11)</f>
        <v>0</v>
      </c>
      <c r="F12" s="32"/>
      <c r="G12" s="26"/>
      <c r="H12" s="26"/>
      <c r="I12" s="26"/>
    </row>
    <row r="13" spans="1:11" s="14" customFormat="1" ht="15" customHeight="1" x14ac:dyDescent="0.2">
      <c r="A13" s="71"/>
      <c r="B13" s="75"/>
      <c r="C13" s="32"/>
      <c r="D13" s="35"/>
      <c r="E13" s="74"/>
      <c r="F13" s="32"/>
      <c r="G13" s="26"/>
      <c r="H13" s="26"/>
      <c r="I13" s="26"/>
    </row>
    <row r="14" spans="1:11" s="14" customFormat="1" ht="15" customHeight="1" thickBot="1" x14ac:dyDescent="0.25">
      <c r="A14" s="472" t="s">
        <v>21</v>
      </c>
      <c r="B14" s="477" t="s">
        <v>77</v>
      </c>
      <c r="C14" s="32"/>
      <c r="D14" s="472" t="s">
        <v>25</v>
      </c>
      <c r="E14" s="477" t="s">
        <v>77</v>
      </c>
      <c r="F14" s="32"/>
      <c r="G14" s="26"/>
      <c r="H14" s="26"/>
      <c r="I14" s="26"/>
    </row>
    <row r="15" spans="1:11" s="14" customFormat="1" ht="15" customHeight="1" thickTop="1" x14ac:dyDescent="0.2">
      <c r="A15" s="299"/>
      <c r="B15" s="300"/>
      <c r="C15" s="32"/>
      <c r="D15" s="299"/>
      <c r="E15" s="300"/>
      <c r="F15" s="32"/>
      <c r="G15" s="26"/>
      <c r="H15" s="20"/>
      <c r="I15" s="20"/>
      <c r="J15" s="17"/>
      <c r="K15" s="17"/>
    </row>
    <row r="16" spans="1:11" s="17" customFormat="1" ht="15" customHeight="1" x14ac:dyDescent="0.2">
      <c r="A16" s="301"/>
      <c r="B16" s="302"/>
      <c r="C16" s="33"/>
      <c r="D16" s="301"/>
      <c r="E16" s="302"/>
      <c r="F16" s="33"/>
      <c r="G16" s="20"/>
      <c r="H16" s="20"/>
      <c r="I16" s="20"/>
    </row>
    <row r="17" spans="1:11" s="17" customFormat="1" ht="15" customHeight="1" x14ac:dyDescent="0.2">
      <c r="A17" s="303"/>
      <c r="B17" s="304"/>
      <c r="C17" s="33"/>
      <c r="D17" s="303"/>
      <c r="E17" s="304"/>
      <c r="F17" s="33"/>
      <c r="G17" s="20"/>
      <c r="H17" s="20"/>
      <c r="I17" s="20"/>
    </row>
    <row r="18" spans="1:11" s="17" customFormat="1" ht="15" customHeight="1" x14ac:dyDescent="0.2">
      <c r="A18" s="301"/>
      <c r="B18" s="302"/>
      <c r="C18" s="33"/>
      <c r="D18" s="301"/>
      <c r="E18" s="302"/>
      <c r="F18" s="33"/>
      <c r="G18" s="20"/>
      <c r="H18" s="20"/>
      <c r="I18" s="20"/>
    </row>
    <row r="19" spans="1:11" s="17" customFormat="1" ht="15" customHeight="1" x14ac:dyDescent="0.2">
      <c r="A19" s="230" t="str">
        <f>CONCATENATE("Sub-Total ",A14)</f>
        <v>Sub-Total Business Credit Card Debt</v>
      </c>
      <c r="B19" s="231">
        <f>SUM('Liability Entry'!$B$15:$B$18)</f>
        <v>0</v>
      </c>
      <c r="C19" s="33"/>
      <c r="D19" s="230" t="str">
        <f>CONCATENATE("Sub-Total ",D14)</f>
        <v>Sub-Total Personal Credit Card Debt</v>
      </c>
      <c r="E19" s="231">
        <f>SUM('Liability Entry'!$E$15:$E$18)</f>
        <v>0</v>
      </c>
      <c r="F19" s="33"/>
      <c r="G19" s="20"/>
      <c r="H19" s="26"/>
      <c r="I19" s="26"/>
      <c r="J19" s="14"/>
      <c r="K19" s="14"/>
    </row>
    <row r="20" spans="1:11" s="14" customFormat="1" ht="15" customHeight="1" x14ac:dyDescent="0.2">
      <c r="A20" s="71"/>
      <c r="B20" s="75"/>
      <c r="C20" s="32"/>
      <c r="D20" s="21"/>
      <c r="E20" s="42"/>
      <c r="F20" s="32"/>
      <c r="G20" s="26"/>
      <c r="H20" s="26"/>
      <c r="I20" s="26"/>
    </row>
    <row r="21" spans="1:11" s="14" customFormat="1" ht="15" customHeight="1" thickBot="1" x14ac:dyDescent="0.25">
      <c r="A21" s="472" t="s">
        <v>210</v>
      </c>
      <c r="B21" s="477" t="s">
        <v>77</v>
      </c>
      <c r="C21" s="32"/>
      <c r="D21" s="472" t="s">
        <v>26</v>
      </c>
      <c r="E21" s="477" t="s">
        <v>77</v>
      </c>
      <c r="F21" s="32"/>
      <c r="G21" s="26"/>
      <c r="H21" s="26"/>
      <c r="I21" s="26"/>
    </row>
    <row r="22" spans="1:11" s="14" customFormat="1" ht="15" customHeight="1" thickTop="1" x14ac:dyDescent="0.2">
      <c r="A22" s="662" t="s">
        <v>443</v>
      </c>
      <c r="B22" s="664">
        <f>LoanAccrInt</f>
        <v>0</v>
      </c>
      <c r="C22" s="32"/>
      <c r="D22" s="681" t="s">
        <v>344</v>
      </c>
      <c r="E22" s="300"/>
      <c r="F22" s="32"/>
      <c r="G22" s="26"/>
      <c r="H22" s="20"/>
      <c r="I22" s="20"/>
      <c r="J22" s="17"/>
      <c r="K22" s="17"/>
    </row>
    <row r="23" spans="1:11" s="17" customFormat="1" ht="15" customHeight="1" x14ac:dyDescent="0.2">
      <c r="A23" s="301"/>
      <c r="B23" s="302"/>
      <c r="C23" s="33"/>
      <c r="D23" s="301"/>
      <c r="E23" s="302"/>
      <c r="F23" s="33"/>
      <c r="G23" s="20"/>
      <c r="H23" s="26"/>
      <c r="I23" s="26"/>
      <c r="J23" s="14"/>
      <c r="K23" s="14"/>
    </row>
    <row r="24" spans="1:11" s="14" customFormat="1" ht="15" customHeight="1" x14ac:dyDescent="0.2">
      <c r="A24" s="303"/>
      <c r="B24" s="304"/>
      <c r="C24" s="32"/>
      <c r="D24" s="303"/>
      <c r="E24" s="304"/>
      <c r="F24" s="32"/>
      <c r="G24" s="26"/>
      <c r="H24" s="26"/>
      <c r="I24" s="26"/>
    </row>
    <row r="25" spans="1:11" s="14" customFormat="1" ht="15" customHeight="1" x14ac:dyDescent="0.2">
      <c r="A25" s="301"/>
      <c r="B25" s="302"/>
      <c r="C25" s="32"/>
      <c r="D25" s="301"/>
      <c r="E25" s="302"/>
      <c r="F25" s="32"/>
      <c r="G25" s="26"/>
      <c r="H25" s="26"/>
      <c r="I25" s="26"/>
    </row>
    <row r="26" spans="1:11" s="14" customFormat="1" ht="15" customHeight="1" x14ac:dyDescent="0.2">
      <c r="A26" s="230" t="str">
        <f>CONCATENATE("Sub-Total ",A21)</f>
        <v>Sub-Total Accrued Interest</v>
      </c>
      <c r="B26" s="231">
        <f>SUM('Liability Entry'!$B$22:$B$25)</f>
        <v>0</v>
      </c>
      <c r="C26" s="32"/>
      <c r="D26" s="230" t="str">
        <f>CONCATENATE("Sub-Total ",D21)</f>
        <v>Sub-Total Personal Taxes Payable</v>
      </c>
      <c r="E26" s="231">
        <f>SUM('Liability Entry'!$E$22:$E$25)</f>
        <v>0</v>
      </c>
      <c r="F26" s="32"/>
      <c r="G26" s="26"/>
      <c r="H26" s="20"/>
      <c r="I26" s="20"/>
      <c r="J26" s="17"/>
      <c r="K26" s="17"/>
    </row>
    <row r="27" spans="1:11" s="14" customFormat="1" ht="15" customHeight="1" x14ac:dyDescent="0.2">
      <c r="A27" s="71"/>
      <c r="B27" s="75"/>
      <c r="C27" s="86"/>
      <c r="D27" s="71"/>
      <c r="E27" s="75"/>
      <c r="F27" s="33"/>
      <c r="G27" s="20"/>
      <c r="H27" s="20"/>
      <c r="I27" s="20"/>
      <c r="J27" s="17"/>
      <c r="K27" s="17"/>
    </row>
    <row r="28" spans="1:11" s="14" customFormat="1" ht="15" customHeight="1" thickBot="1" x14ac:dyDescent="0.25">
      <c r="A28" s="472" t="s">
        <v>31</v>
      </c>
      <c r="B28" s="477" t="s">
        <v>77</v>
      </c>
      <c r="C28" s="86"/>
      <c r="D28" s="472" t="s">
        <v>28</v>
      </c>
      <c r="E28" s="477" t="s">
        <v>77</v>
      </c>
      <c r="F28" s="33"/>
      <c r="G28" s="20"/>
      <c r="H28" s="26"/>
      <c r="I28" s="26"/>
    </row>
    <row r="29" spans="1:11" s="14" customFormat="1" ht="15" customHeight="1" thickTop="1" x14ac:dyDescent="0.2">
      <c r="A29" s="347" t="s">
        <v>474</v>
      </c>
      <c r="B29" s="300"/>
      <c r="C29" s="32"/>
      <c r="D29" s="299"/>
      <c r="E29" s="300"/>
      <c r="F29" s="32"/>
      <c r="G29" s="26"/>
      <c r="H29" s="26"/>
      <c r="I29" s="26"/>
    </row>
    <row r="30" spans="1:11" s="14" customFormat="1" ht="15" customHeight="1" x14ac:dyDescent="0.2">
      <c r="A30" s="348" t="s">
        <v>475</v>
      </c>
      <c r="B30" s="302"/>
      <c r="C30" s="32"/>
      <c r="D30" s="301"/>
      <c r="E30" s="302"/>
      <c r="F30" s="32"/>
      <c r="G30" s="26"/>
      <c r="H30" s="26"/>
      <c r="I30" s="26"/>
    </row>
    <row r="31" spans="1:11" s="14" customFormat="1" ht="15" customHeight="1" x14ac:dyDescent="0.2">
      <c r="A31" s="303"/>
      <c r="B31" s="304"/>
      <c r="C31" s="32"/>
      <c r="D31" s="303"/>
      <c r="E31" s="304"/>
      <c r="F31" s="32"/>
      <c r="G31" s="26"/>
      <c r="H31" s="20"/>
      <c r="I31" s="20"/>
      <c r="J31" s="17"/>
      <c r="K31" s="17"/>
    </row>
    <row r="32" spans="1:11" s="17" customFormat="1" ht="15" customHeight="1" x14ac:dyDescent="0.2">
      <c r="A32" s="301"/>
      <c r="B32" s="302"/>
      <c r="C32" s="33"/>
      <c r="D32" s="301"/>
      <c r="E32" s="302"/>
      <c r="F32" s="33"/>
      <c r="G32" s="20"/>
      <c r="H32" s="20"/>
      <c r="I32" s="20"/>
    </row>
    <row r="33" spans="1:11" s="17" customFormat="1" ht="15" customHeight="1" x14ac:dyDescent="0.2">
      <c r="A33" s="230" t="str">
        <f>CONCATENATE("Sub-Total ",A28)</f>
        <v>Sub-Total Taxes &amp; Assessments Payable</v>
      </c>
      <c r="B33" s="231">
        <f>SUM('Liability Entry'!$B$29:$B$32)</f>
        <v>0</v>
      </c>
      <c r="C33" s="33"/>
      <c r="D33" s="230" t="str">
        <f>CONCATENATE("Sub-Total ",D28)</f>
        <v>Sub-Total Other Personal Liabilities</v>
      </c>
      <c r="E33" s="238">
        <f>SUM('Liability Entry'!$E$29:$E$32)</f>
        <v>0</v>
      </c>
      <c r="F33" s="33"/>
      <c r="G33" s="20"/>
      <c r="H33" s="26"/>
      <c r="I33" s="26"/>
      <c r="J33" s="14"/>
      <c r="K33" s="14"/>
    </row>
    <row r="34" spans="1:11" s="14" customFormat="1" ht="15" customHeight="1" x14ac:dyDescent="0.2">
      <c r="A34" s="21"/>
      <c r="B34" s="43"/>
      <c r="C34" s="32"/>
      <c r="D34" s="21"/>
      <c r="E34" s="43"/>
      <c r="F34" s="32"/>
      <c r="G34" s="26"/>
      <c r="H34" s="26"/>
      <c r="I34" s="26"/>
    </row>
    <row r="35" spans="1:11" s="14" customFormat="1" ht="15" customHeight="1" thickBot="1" x14ac:dyDescent="0.25">
      <c r="A35" s="472" t="s">
        <v>259</v>
      </c>
      <c r="B35" s="477" t="s">
        <v>77</v>
      </c>
      <c r="C35" s="32"/>
      <c r="D35" s="33"/>
      <c r="E35" s="33"/>
      <c r="F35" s="32"/>
      <c r="G35" s="26"/>
      <c r="H35" s="26"/>
      <c r="I35" s="26"/>
    </row>
    <row r="36" spans="1:11" s="14" customFormat="1" ht="15" customHeight="1" thickTop="1" x14ac:dyDescent="0.2">
      <c r="A36" s="299"/>
      <c r="B36" s="300"/>
      <c r="C36" s="32"/>
      <c r="D36" s="33"/>
      <c r="E36" s="33"/>
      <c r="F36" s="32"/>
      <c r="G36" s="26"/>
      <c r="H36" s="26"/>
      <c r="I36" s="26"/>
    </row>
    <row r="37" spans="1:11" s="14" customFormat="1" ht="15" customHeight="1" x14ac:dyDescent="0.2">
      <c r="A37" s="301"/>
      <c r="B37" s="302"/>
      <c r="C37" s="32"/>
      <c r="D37" s="33"/>
      <c r="E37" s="33"/>
      <c r="F37" s="32"/>
      <c r="G37" s="26"/>
      <c r="H37" s="26"/>
      <c r="I37" s="26"/>
    </row>
    <row r="38" spans="1:11" s="14" customFormat="1" ht="15" customHeight="1" x14ac:dyDescent="0.2">
      <c r="A38" s="303"/>
      <c r="B38" s="304"/>
      <c r="C38" s="32"/>
      <c r="D38" s="33"/>
      <c r="E38" s="33"/>
      <c r="F38" s="32"/>
      <c r="G38" s="26"/>
      <c r="H38" s="26"/>
      <c r="I38" s="26"/>
    </row>
    <row r="39" spans="1:11" s="14" customFormat="1" ht="15" customHeight="1" x14ac:dyDescent="0.2">
      <c r="A39" s="301"/>
      <c r="B39" s="302"/>
      <c r="C39" s="32"/>
      <c r="D39" s="33"/>
      <c r="E39" s="33"/>
      <c r="F39" s="32"/>
      <c r="G39" s="26"/>
      <c r="H39" s="26"/>
      <c r="I39" s="26"/>
    </row>
    <row r="40" spans="1:11" s="14" customFormat="1" ht="15" customHeight="1" x14ac:dyDescent="0.2">
      <c r="A40" s="230" t="str">
        <f>CONCATENATE("Sub-Total ",A35)</f>
        <v>Sub-Total Other Current Liabilities</v>
      </c>
      <c r="B40" s="238">
        <f>SUM('Liability Entry'!$B$36:$B$39)</f>
        <v>0</v>
      </c>
      <c r="C40" s="32"/>
      <c r="D40" s="33"/>
      <c r="E40" s="33"/>
      <c r="F40" s="32"/>
      <c r="G40" s="26"/>
      <c r="H40" s="26"/>
      <c r="I40" s="26"/>
    </row>
    <row r="41" spans="1:11" s="14" customFormat="1" ht="15" customHeight="1" x14ac:dyDescent="0.2">
      <c r="A41" s="18"/>
      <c r="B41" s="43"/>
      <c r="C41" s="32"/>
      <c r="D41" s="33"/>
      <c r="E41" s="33"/>
      <c r="F41" s="32"/>
      <c r="G41" s="26"/>
    </row>
    <row r="42" spans="1:11" s="14" customFormat="1" ht="15" customHeight="1" thickBot="1" x14ac:dyDescent="0.25">
      <c r="A42" s="472" t="s">
        <v>260</v>
      </c>
      <c r="B42" s="477" t="s">
        <v>77</v>
      </c>
      <c r="C42" s="87"/>
      <c r="D42" s="32"/>
      <c r="E42" s="32"/>
      <c r="F42" s="87"/>
      <c r="H42" s="17"/>
      <c r="I42" s="17"/>
      <c r="J42" s="17"/>
      <c r="K42" s="17"/>
    </row>
    <row r="43" spans="1:11" s="17" customFormat="1" ht="15" customHeight="1" thickTop="1" x14ac:dyDescent="0.2">
      <c r="A43" s="299"/>
      <c r="B43" s="300"/>
      <c r="C43" s="34"/>
      <c r="D43" s="32"/>
      <c r="E43" s="32"/>
      <c r="F43" s="34"/>
    </row>
    <row r="44" spans="1:11" s="17" customFormat="1" ht="15" customHeight="1" x14ac:dyDescent="0.2">
      <c r="A44" s="301"/>
      <c r="B44" s="302"/>
      <c r="C44" s="34"/>
      <c r="D44" s="32"/>
      <c r="E44" s="32"/>
      <c r="F44" s="34"/>
    </row>
    <row r="45" spans="1:11" s="17" customFormat="1" ht="15" customHeight="1" x14ac:dyDescent="0.2">
      <c r="A45" s="303"/>
      <c r="B45" s="304"/>
      <c r="C45" s="34"/>
      <c r="D45" s="32"/>
      <c r="E45" s="32"/>
      <c r="F45" s="34"/>
    </row>
    <row r="46" spans="1:11" s="17" customFormat="1" ht="15" customHeight="1" x14ac:dyDescent="0.2">
      <c r="A46" s="301"/>
      <c r="B46" s="302"/>
      <c r="C46" s="34"/>
      <c r="D46" s="32"/>
      <c r="E46" s="32"/>
      <c r="F46" s="34"/>
      <c r="H46" s="14"/>
      <c r="I46" s="14"/>
      <c r="J46" s="14"/>
      <c r="K46" s="14"/>
    </row>
    <row r="47" spans="1:11" s="14" customFormat="1" ht="15" customHeight="1" x14ac:dyDescent="0.2">
      <c r="A47" s="230" t="str">
        <f>CONCATENATE("Sub-Total ",A42)</f>
        <v>Sub-Total Other Non-Current Liabilities</v>
      </c>
      <c r="B47" s="238">
        <f>SUM('Liability Entry'!$B$43:$B$46)</f>
        <v>0</v>
      </c>
      <c r="C47" s="87"/>
      <c r="D47" s="32"/>
      <c r="E47" s="32"/>
      <c r="F47" s="87"/>
    </row>
    <row r="48" spans="1:11" s="14" customFormat="1" ht="15" customHeight="1" x14ac:dyDescent="0.2">
      <c r="C48" s="87"/>
      <c r="D48" s="32"/>
      <c r="E48" s="32"/>
      <c r="F48" s="87"/>
    </row>
    <row r="49" spans="1:11" s="14" customFormat="1" ht="15" customHeight="1" x14ac:dyDescent="0.2">
      <c r="C49" s="87"/>
      <c r="D49" s="32"/>
      <c r="E49" s="32"/>
      <c r="F49" s="87"/>
    </row>
    <row r="50" spans="1:11" s="14" customFormat="1" ht="15" customHeight="1" x14ac:dyDescent="0.2">
      <c r="C50" s="87"/>
      <c r="D50" s="32"/>
      <c r="E50" s="32"/>
      <c r="F50" s="87"/>
    </row>
    <row r="51" spans="1:11" s="14" customFormat="1" ht="15" customHeight="1" x14ac:dyDescent="0.2">
      <c r="C51" s="87"/>
      <c r="D51" s="87"/>
      <c r="E51" s="32"/>
      <c r="F51" s="87"/>
    </row>
    <row r="52" spans="1:11" s="14" customFormat="1" ht="15" customHeight="1" x14ac:dyDescent="0.2">
      <c r="C52" s="87"/>
      <c r="D52" s="87"/>
      <c r="E52" s="32"/>
      <c r="F52" s="87"/>
    </row>
    <row r="53" spans="1:11" s="14" customFormat="1" ht="15" customHeight="1" x14ac:dyDescent="0.2">
      <c r="A53" s="17"/>
      <c r="B53" s="17"/>
      <c r="C53" s="87"/>
      <c r="D53" s="41"/>
      <c r="E53" s="41"/>
      <c r="F53" s="87"/>
    </row>
    <row r="54" spans="1:11" s="14" customFormat="1" ht="15" customHeight="1" x14ac:dyDescent="0.2">
      <c r="A54" s="17"/>
      <c r="B54" s="17"/>
      <c r="C54" s="87"/>
      <c r="D54" s="39"/>
      <c r="E54" s="39"/>
      <c r="F54" s="87"/>
      <c r="H54" s="17"/>
      <c r="I54" s="17"/>
      <c r="J54" s="17"/>
      <c r="K54" s="17"/>
    </row>
    <row r="55" spans="1:11" s="17" customFormat="1" ht="15" customHeight="1" x14ac:dyDescent="0.2">
      <c r="C55" s="33"/>
      <c r="D55" s="32"/>
      <c r="E55" s="32"/>
    </row>
    <row r="56" spans="1:11" s="17" customFormat="1" ht="15" customHeight="1" x14ac:dyDescent="0.2">
      <c r="C56" s="33"/>
      <c r="D56" s="32"/>
      <c r="E56" s="32"/>
      <c r="F56" s="33"/>
    </row>
    <row r="57" spans="1:11" s="17" customFormat="1" ht="15" customHeight="1" x14ac:dyDescent="0.2">
      <c r="A57" s="14"/>
      <c r="B57" s="14"/>
      <c r="C57" s="33"/>
      <c r="D57" s="33"/>
      <c r="E57" s="33"/>
      <c r="F57" s="33"/>
    </row>
    <row r="58" spans="1:11" s="17" customFormat="1" ht="15" customHeight="1" x14ac:dyDescent="0.2">
      <c r="A58" s="14"/>
      <c r="B58" s="14"/>
      <c r="C58" s="33"/>
      <c r="D58" s="33"/>
      <c r="E58" s="33"/>
      <c r="F58" s="33"/>
    </row>
    <row r="59" spans="1:11" s="17" customFormat="1" ht="15" customHeight="1" x14ac:dyDescent="0.2">
      <c r="A59" s="14"/>
      <c r="B59" s="14"/>
      <c r="C59" s="33"/>
      <c r="D59" s="33"/>
      <c r="E59" s="33"/>
      <c r="F59" s="33"/>
    </row>
    <row r="60" spans="1:11" s="17" customFormat="1" ht="15" customHeight="1" x14ac:dyDescent="0.2">
      <c r="A60" s="14"/>
      <c r="B60" s="14"/>
      <c r="C60" s="33"/>
      <c r="D60" s="32"/>
      <c r="E60" s="32"/>
      <c r="F60" s="33"/>
    </row>
    <row r="61" spans="1:11" s="17" customFormat="1" ht="15" customHeight="1" x14ac:dyDescent="0.2">
      <c r="A61" s="14"/>
      <c r="B61" s="14"/>
      <c r="C61" s="33"/>
      <c r="D61" s="32"/>
      <c r="E61" s="32"/>
      <c r="F61" s="33"/>
    </row>
    <row r="62" spans="1:11" s="17" customFormat="1" ht="15" customHeight="1" x14ac:dyDescent="0.2">
      <c r="A62" s="14"/>
      <c r="B62" s="14"/>
      <c r="C62" s="33"/>
      <c r="D62" s="32"/>
      <c r="E62" s="32"/>
      <c r="F62" s="33"/>
    </row>
    <row r="63" spans="1:11" s="17" customFormat="1" ht="15" customHeight="1" x14ac:dyDescent="0.2">
      <c r="A63" s="14"/>
      <c r="B63" s="14"/>
      <c r="C63" s="33"/>
      <c r="D63" s="33"/>
      <c r="E63" s="33"/>
      <c r="F63" s="33"/>
    </row>
    <row r="64" spans="1:11" s="17" customFormat="1" ht="15" customHeight="1" x14ac:dyDescent="0.2">
      <c r="A64" s="14"/>
      <c r="B64" s="14"/>
      <c r="C64" s="33"/>
      <c r="D64" s="33"/>
      <c r="E64" s="33"/>
      <c r="F64" s="33"/>
    </row>
    <row r="65" spans="1:11" s="17" customFormat="1" ht="15" customHeight="1" x14ac:dyDescent="0.2">
      <c r="C65" s="33"/>
      <c r="D65" s="33"/>
      <c r="E65" s="33"/>
      <c r="F65" s="33"/>
    </row>
    <row r="66" spans="1:11" s="17" customFormat="1" ht="15" customHeight="1" x14ac:dyDescent="0.2">
      <c r="C66" s="33"/>
      <c r="D66" s="32"/>
      <c r="E66" s="32"/>
      <c r="F66" s="33"/>
    </row>
    <row r="67" spans="1:11" s="17" customFormat="1" ht="15" customHeight="1" x14ac:dyDescent="0.2">
      <c r="C67" s="33"/>
      <c r="D67" s="32"/>
      <c r="E67" s="32"/>
      <c r="F67" s="33"/>
    </row>
    <row r="68" spans="1:11" s="17" customFormat="1" ht="15" customHeight="1" x14ac:dyDescent="0.2">
      <c r="C68" s="33"/>
      <c r="D68" s="32"/>
      <c r="E68" s="32"/>
      <c r="F68" s="33"/>
    </row>
    <row r="69" spans="1:11" s="17" customFormat="1" ht="15" customHeight="1" x14ac:dyDescent="0.2">
      <c r="C69" s="33"/>
      <c r="D69" s="33"/>
      <c r="E69" s="33"/>
      <c r="F69" s="33"/>
    </row>
    <row r="70" spans="1:11" s="17" customFormat="1" ht="15" customHeight="1" x14ac:dyDescent="0.2">
      <c r="C70" s="33"/>
      <c r="D70" s="33"/>
      <c r="E70" s="33"/>
      <c r="F70" s="33"/>
    </row>
    <row r="71" spans="1:11" s="17" customFormat="1" ht="15" customHeight="1" x14ac:dyDescent="0.2">
      <c r="C71" s="33"/>
      <c r="D71" s="33"/>
      <c r="E71" s="33"/>
      <c r="F71" s="33"/>
    </row>
    <row r="72" spans="1:11" s="17" customFormat="1" ht="15" customHeight="1" x14ac:dyDescent="0.2">
      <c r="C72" s="33"/>
      <c r="D72" s="32"/>
      <c r="E72" s="32"/>
      <c r="F72" s="33"/>
    </row>
    <row r="73" spans="1:11" s="17" customFormat="1" ht="15" customHeight="1" x14ac:dyDescent="0.2">
      <c r="C73" s="33"/>
      <c r="D73" s="32"/>
      <c r="E73" s="32"/>
      <c r="F73" s="33"/>
    </row>
    <row r="74" spans="1:11" s="17" customFormat="1" ht="15" customHeight="1" x14ac:dyDescent="0.2">
      <c r="C74" s="33"/>
      <c r="D74" s="32"/>
      <c r="E74" s="32"/>
      <c r="F74" s="33"/>
    </row>
    <row r="75" spans="1:11" s="17" customFormat="1" ht="15" customHeight="1" x14ac:dyDescent="0.2">
      <c r="C75" s="33"/>
      <c r="D75" s="33"/>
      <c r="E75" s="33"/>
      <c r="F75" s="33"/>
      <c r="H75" s="14"/>
      <c r="I75" s="14"/>
      <c r="J75" s="14"/>
      <c r="K75" s="14"/>
    </row>
    <row r="76" spans="1:11" s="14" customFormat="1" ht="15" customHeight="1" x14ac:dyDescent="0.2">
      <c r="A76" s="17"/>
      <c r="B76" s="17"/>
      <c r="C76" s="32"/>
      <c r="D76" s="33"/>
      <c r="E76" s="33"/>
      <c r="F76" s="32"/>
    </row>
    <row r="77" spans="1:11" s="14" customFormat="1" ht="15" customHeight="1" x14ac:dyDescent="0.2">
      <c r="A77" s="17"/>
      <c r="B77" s="17"/>
      <c r="C77" s="32"/>
      <c r="D77" s="32"/>
      <c r="E77" s="32"/>
      <c r="F77" s="32"/>
    </row>
    <row r="78" spans="1:11" s="14" customFormat="1" ht="15" customHeight="1" x14ac:dyDescent="0.2">
      <c r="A78" s="17"/>
      <c r="B78" s="17"/>
      <c r="C78" s="32"/>
      <c r="D78" s="32"/>
      <c r="E78" s="32"/>
      <c r="F78" s="32"/>
    </row>
    <row r="79" spans="1:11" s="14" customFormat="1" ht="15" customHeight="1" x14ac:dyDescent="0.2">
      <c r="A79" s="17"/>
      <c r="B79" s="17"/>
      <c r="C79" s="32"/>
      <c r="D79" s="87"/>
      <c r="E79" s="87"/>
      <c r="F79" s="32"/>
    </row>
    <row r="80" spans="1:11" s="14" customFormat="1" ht="15" customHeight="1" x14ac:dyDescent="0.2">
      <c r="A80" s="17"/>
      <c r="B80" s="17"/>
      <c r="C80" s="32"/>
      <c r="D80" s="34"/>
      <c r="E80" s="34"/>
      <c r="F80" s="32"/>
    </row>
    <row r="81" spans="1:11" s="14" customFormat="1" ht="15" customHeight="1" x14ac:dyDescent="0.2">
      <c r="A81" s="17"/>
      <c r="B81" s="17"/>
      <c r="C81" s="32"/>
      <c r="D81" s="34"/>
      <c r="E81" s="34"/>
      <c r="F81" s="32"/>
    </row>
    <row r="82" spans="1:11" s="14" customFormat="1" ht="15" customHeight="1" x14ac:dyDescent="0.2">
      <c r="A82" s="17"/>
      <c r="B82" s="17"/>
      <c r="C82" s="32"/>
      <c r="D82" s="34"/>
      <c r="E82" s="34"/>
      <c r="F82" s="32"/>
    </row>
    <row r="83" spans="1:11" s="14" customFormat="1" ht="15" customHeight="1" x14ac:dyDescent="0.2">
      <c r="A83" s="17"/>
      <c r="B83" s="17"/>
      <c r="C83" s="32"/>
      <c r="D83" s="87"/>
      <c r="E83" s="87"/>
      <c r="F83" s="32"/>
    </row>
    <row r="84" spans="1:11" s="14" customFormat="1" ht="15" customHeight="1" x14ac:dyDescent="0.2">
      <c r="A84" s="17"/>
      <c r="B84" s="17"/>
      <c r="C84" s="32"/>
      <c r="D84" s="87"/>
      <c r="E84" s="87"/>
      <c r="F84" s="32"/>
    </row>
    <row r="85" spans="1:11" s="14" customFormat="1" ht="15" customHeight="1" x14ac:dyDescent="0.2">
      <c r="A85" s="17"/>
      <c r="B85" s="17"/>
      <c r="C85" s="87"/>
      <c r="D85" s="87"/>
      <c r="E85" s="87"/>
      <c r="F85" s="32"/>
    </row>
    <row r="86" spans="1:11" s="14" customFormat="1" ht="15" customHeight="1" x14ac:dyDescent="0.2">
      <c r="C86" s="87"/>
      <c r="D86" s="87"/>
      <c r="E86" s="87"/>
      <c r="F86" s="32"/>
      <c r="H86" s="41"/>
      <c r="I86" s="41"/>
      <c r="J86" s="41"/>
      <c r="K86" s="41"/>
    </row>
    <row r="87" spans="1:11" s="41" customFormat="1" ht="15" customHeight="1" x14ac:dyDescent="0.2">
      <c r="A87" s="14"/>
      <c r="B87" s="14"/>
      <c r="D87" s="87"/>
      <c r="E87" s="87"/>
      <c r="H87" s="39"/>
      <c r="I87" s="39"/>
      <c r="J87" s="29"/>
      <c r="K87" s="29"/>
    </row>
    <row r="88" spans="1:11" s="29" customFormat="1" ht="15" customHeight="1" x14ac:dyDescent="0.2">
      <c r="A88" s="14"/>
      <c r="B88" s="14"/>
      <c r="C88" s="84"/>
      <c r="D88" s="87"/>
      <c r="E88" s="87"/>
      <c r="F88" s="39"/>
      <c r="G88" s="39"/>
      <c r="H88" s="26"/>
      <c r="I88" s="26"/>
      <c r="J88" s="14"/>
      <c r="K88" s="14"/>
    </row>
    <row r="89" spans="1:11" s="14" customFormat="1" ht="15" customHeight="1" x14ac:dyDescent="0.2">
      <c r="C89" s="32"/>
      <c r="D89" s="87"/>
      <c r="E89" s="87"/>
      <c r="F89" s="32"/>
      <c r="G89" s="26"/>
      <c r="H89" s="26"/>
      <c r="I89" s="26"/>
    </row>
    <row r="90" spans="1:11" s="14" customFormat="1" ht="15" customHeight="1" x14ac:dyDescent="0.2">
      <c r="C90" s="32"/>
      <c r="D90" s="17"/>
      <c r="E90" s="17"/>
      <c r="F90" s="32"/>
      <c r="G90" s="26"/>
      <c r="H90" s="20"/>
      <c r="I90" s="20"/>
      <c r="J90" s="17"/>
      <c r="K90" s="17"/>
    </row>
    <row r="91" spans="1:11" s="17" customFormat="1" ht="15" customHeight="1" x14ac:dyDescent="0.2">
      <c r="A91" s="14"/>
      <c r="B91" s="14"/>
      <c r="C91" s="33"/>
      <c r="D91" s="33"/>
      <c r="E91" s="33"/>
      <c r="F91" s="33"/>
      <c r="G91" s="20"/>
      <c r="H91" s="20"/>
      <c r="I91" s="20"/>
    </row>
    <row r="92" spans="1:11" s="17" customFormat="1" ht="15" customHeight="1" x14ac:dyDescent="0.2">
      <c r="A92" s="14"/>
      <c r="B92" s="14"/>
      <c r="C92" s="33"/>
      <c r="D92" s="33"/>
      <c r="E92" s="33"/>
      <c r="F92" s="33"/>
      <c r="G92" s="20"/>
      <c r="H92" s="20"/>
      <c r="I92" s="20"/>
    </row>
    <row r="93" spans="1:11" s="17" customFormat="1" ht="15" customHeight="1" x14ac:dyDescent="0.2">
      <c r="A93" s="14"/>
      <c r="B93" s="14"/>
      <c r="C93" s="33"/>
      <c r="D93" s="33"/>
      <c r="E93" s="33"/>
      <c r="F93" s="33"/>
      <c r="G93" s="20"/>
      <c r="H93" s="26"/>
      <c r="I93" s="26"/>
      <c r="J93" s="14"/>
      <c r="K93" s="14"/>
    </row>
    <row r="94" spans="1:11" s="14" customFormat="1" ht="15" customHeight="1" x14ac:dyDescent="0.2">
      <c r="C94" s="32"/>
      <c r="D94" s="33"/>
      <c r="E94" s="33"/>
      <c r="F94" s="32"/>
      <c r="G94" s="26"/>
      <c r="H94" s="26"/>
      <c r="I94" s="26"/>
    </row>
    <row r="95" spans="1:11" s="14" customFormat="1" ht="15" customHeight="1" x14ac:dyDescent="0.2">
      <c r="C95" s="32"/>
      <c r="D95" s="33"/>
      <c r="E95" s="33"/>
      <c r="F95" s="32"/>
      <c r="G95" s="26"/>
      <c r="H95" s="26"/>
      <c r="I95" s="26"/>
    </row>
    <row r="96" spans="1:11" s="14" customFormat="1" ht="15" customHeight="1" x14ac:dyDescent="0.2">
      <c r="C96" s="32"/>
      <c r="D96" s="33"/>
      <c r="E96" s="33"/>
      <c r="F96" s="32"/>
      <c r="G96" s="26"/>
      <c r="H96" s="20"/>
      <c r="I96" s="20"/>
      <c r="J96" s="17"/>
      <c r="K96" s="17"/>
    </row>
    <row r="97" spans="1:11" s="17" customFormat="1" ht="15" customHeight="1" x14ac:dyDescent="0.2">
      <c r="A97" s="41"/>
      <c r="B97" s="41"/>
      <c r="C97" s="33"/>
      <c r="D97" s="33"/>
      <c r="E97" s="33"/>
      <c r="F97" s="33"/>
      <c r="G97" s="20"/>
      <c r="H97" s="20"/>
      <c r="I97" s="20"/>
    </row>
    <row r="98" spans="1:11" s="17" customFormat="1" ht="15" customHeight="1" x14ac:dyDescent="0.2">
      <c r="A98" s="29"/>
      <c r="B98" s="29"/>
      <c r="C98" s="33"/>
      <c r="D98" s="33"/>
      <c r="E98" s="33"/>
      <c r="F98" s="33"/>
      <c r="G98" s="20"/>
      <c r="H98" s="20"/>
      <c r="I98" s="20"/>
    </row>
    <row r="99" spans="1:11" s="17" customFormat="1" ht="15" customHeight="1" x14ac:dyDescent="0.2">
      <c r="A99" s="14"/>
      <c r="B99" s="14"/>
      <c r="C99" s="33"/>
      <c r="D99" s="33"/>
      <c r="E99" s="33"/>
      <c r="F99" s="33"/>
      <c r="G99" s="20"/>
      <c r="H99" s="26"/>
      <c r="I99" s="26"/>
      <c r="J99" s="14"/>
      <c r="K99" s="14"/>
    </row>
    <row r="100" spans="1:11" s="14" customFormat="1" ht="15" customHeight="1" x14ac:dyDescent="0.2">
      <c r="C100" s="32"/>
      <c r="D100" s="33"/>
      <c r="E100" s="33"/>
      <c r="F100" s="32"/>
      <c r="G100" s="26"/>
      <c r="H100" s="26"/>
      <c r="I100" s="26"/>
    </row>
    <row r="101" spans="1:11" s="14" customFormat="1" ht="15" customHeight="1" x14ac:dyDescent="0.2">
      <c r="A101" s="17"/>
      <c r="B101" s="17"/>
      <c r="C101" s="32"/>
      <c r="D101" s="33"/>
      <c r="E101" s="33"/>
      <c r="F101" s="32"/>
      <c r="G101" s="26"/>
      <c r="H101" s="26"/>
      <c r="I101" s="26"/>
    </row>
    <row r="102" spans="1:11" s="14" customFormat="1" ht="15" customHeight="1" x14ac:dyDescent="0.2">
      <c r="A102" s="17"/>
      <c r="B102" s="17"/>
      <c r="C102" s="32"/>
      <c r="D102" s="33"/>
      <c r="E102" s="33"/>
      <c r="F102" s="32"/>
      <c r="G102" s="26"/>
      <c r="H102" s="20"/>
      <c r="I102" s="20"/>
      <c r="J102" s="17"/>
      <c r="K102" s="17"/>
    </row>
    <row r="103" spans="1:11" s="14" customFormat="1" ht="15" customHeight="1" x14ac:dyDescent="0.2">
      <c r="A103" s="17"/>
      <c r="B103" s="17"/>
      <c r="C103" s="86"/>
      <c r="D103" s="33"/>
      <c r="E103" s="33"/>
      <c r="F103" s="33"/>
      <c r="G103" s="20"/>
      <c r="H103" s="20"/>
      <c r="I103" s="20"/>
      <c r="J103" s="17"/>
      <c r="K103" s="17"/>
    </row>
    <row r="104" spans="1:11" s="14" customFormat="1" ht="15" customHeight="1" x14ac:dyDescent="0.2">
      <c r="C104" s="86"/>
      <c r="D104" s="33"/>
      <c r="E104" s="33"/>
      <c r="F104" s="33"/>
      <c r="G104" s="20"/>
      <c r="H104" s="20"/>
      <c r="I104" s="20"/>
      <c r="J104" s="17"/>
      <c r="K104" s="17"/>
    </row>
    <row r="105" spans="1:11" s="14" customFormat="1" ht="15" customHeight="1" x14ac:dyDescent="0.2">
      <c r="C105" s="86"/>
      <c r="D105" s="33"/>
      <c r="E105" s="33"/>
      <c r="F105" s="33"/>
      <c r="G105" s="20"/>
      <c r="H105" s="26"/>
      <c r="I105" s="26"/>
    </row>
    <row r="106" spans="1:11" s="14" customFormat="1" ht="15" customHeight="1" x14ac:dyDescent="0.2">
      <c r="C106" s="32"/>
      <c r="D106" s="33"/>
      <c r="E106" s="33"/>
      <c r="F106" s="32"/>
      <c r="G106" s="26"/>
      <c r="H106" s="26"/>
      <c r="I106" s="26"/>
    </row>
    <row r="107" spans="1:11" s="14" customFormat="1" ht="15" customHeight="1" x14ac:dyDescent="0.2">
      <c r="A107" s="17"/>
      <c r="B107" s="17"/>
      <c r="C107" s="32"/>
      <c r="D107" s="32"/>
      <c r="E107" s="32"/>
      <c r="F107" s="32"/>
      <c r="G107" s="26"/>
      <c r="H107" s="26"/>
      <c r="I107" s="26"/>
    </row>
    <row r="108" spans="1:11" s="14" customFormat="1" ht="15" customHeight="1" x14ac:dyDescent="0.2">
      <c r="A108" s="69"/>
      <c r="B108" s="88"/>
      <c r="C108" s="32"/>
      <c r="D108" s="32"/>
      <c r="E108" s="32"/>
      <c r="F108" s="32"/>
      <c r="G108" s="26"/>
      <c r="H108" s="20"/>
      <c r="I108" s="20"/>
      <c r="J108" s="17"/>
      <c r="K108" s="17"/>
    </row>
    <row r="109" spans="1:11" s="17" customFormat="1" ht="15" customHeight="1" x14ac:dyDescent="0.2">
      <c r="A109" s="69"/>
      <c r="B109" s="88"/>
      <c r="C109" s="33"/>
      <c r="D109" s="32"/>
      <c r="E109" s="32"/>
      <c r="F109" s="33"/>
      <c r="G109" s="20"/>
      <c r="H109" s="20"/>
      <c r="I109" s="20"/>
    </row>
    <row r="110" spans="1:11" s="17" customFormat="1" ht="15" customHeight="1" x14ac:dyDescent="0.2">
      <c r="A110" s="69"/>
      <c r="B110" s="88"/>
      <c r="C110" s="33"/>
      <c r="D110" s="32"/>
      <c r="E110" s="32"/>
      <c r="F110" s="33"/>
      <c r="G110" s="20"/>
      <c r="H110" s="26"/>
      <c r="I110" s="26"/>
      <c r="J110" s="14"/>
      <c r="K110" s="14"/>
    </row>
    <row r="111" spans="1:11" s="14" customFormat="1" ht="15" customHeight="1" x14ac:dyDescent="0.2">
      <c r="A111" s="69"/>
      <c r="B111" s="88"/>
      <c r="C111" s="32"/>
      <c r="D111" s="32"/>
      <c r="E111" s="32"/>
      <c r="F111" s="32"/>
      <c r="G111" s="26"/>
      <c r="H111" s="26"/>
      <c r="I111" s="26"/>
    </row>
    <row r="112" spans="1:11" s="14" customFormat="1" ht="15" customHeight="1" x14ac:dyDescent="0.2">
      <c r="A112" s="69"/>
      <c r="B112" s="88"/>
      <c r="C112" s="32"/>
      <c r="D112" s="32"/>
      <c r="E112" s="32"/>
      <c r="F112" s="32"/>
      <c r="G112" s="26"/>
    </row>
    <row r="113" spans="1:11" s="14" customFormat="1" ht="15" customHeight="1" x14ac:dyDescent="0.2">
      <c r="A113" s="69"/>
      <c r="B113" s="88"/>
      <c r="C113" s="87"/>
      <c r="D113" s="32"/>
      <c r="E113" s="32"/>
      <c r="F113" s="87"/>
      <c r="H113" s="17"/>
      <c r="I113" s="17"/>
      <c r="J113" s="17"/>
      <c r="K113" s="17"/>
    </row>
    <row r="114" spans="1:11" s="17" customFormat="1" ht="15" customHeight="1" x14ac:dyDescent="0.2">
      <c r="A114" s="69"/>
      <c r="B114" s="88"/>
      <c r="C114" s="34"/>
      <c r="D114" s="32"/>
      <c r="E114" s="32"/>
      <c r="F114" s="34"/>
    </row>
    <row r="115" spans="1:11" s="17" customFormat="1" ht="15" customHeight="1" x14ac:dyDescent="0.2">
      <c r="A115" s="69"/>
      <c r="B115" s="88"/>
      <c r="C115" s="34"/>
      <c r="D115" s="41"/>
      <c r="E115" s="41"/>
      <c r="F115" s="34"/>
    </row>
    <row r="116" spans="1:11" s="17" customFormat="1" ht="15" customHeight="1" x14ac:dyDescent="0.2">
      <c r="A116" s="69"/>
      <c r="B116" s="88"/>
      <c r="C116" s="34"/>
      <c r="D116" s="69"/>
      <c r="E116" s="69"/>
      <c r="F116" s="34"/>
      <c r="H116" s="14"/>
      <c r="I116" s="14"/>
      <c r="J116" s="14"/>
      <c r="K116" s="14"/>
    </row>
    <row r="117" spans="1:11" s="14" customFormat="1" ht="15" customHeight="1" x14ac:dyDescent="0.2">
      <c r="A117" s="69"/>
      <c r="B117" s="88"/>
      <c r="C117" s="87"/>
      <c r="D117" s="69"/>
      <c r="E117" s="69"/>
      <c r="F117" s="87"/>
    </row>
    <row r="118" spans="1:11" s="14" customFormat="1" ht="15" customHeight="1" x14ac:dyDescent="0.2">
      <c r="A118" s="69"/>
      <c r="B118" s="88"/>
      <c r="C118" s="87"/>
      <c r="D118" s="69"/>
      <c r="E118" s="69"/>
      <c r="F118" s="87"/>
    </row>
    <row r="119" spans="1:11" s="14" customFormat="1" ht="15" customHeight="1" x14ac:dyDescent="0.2">
      <c r="A119" s="69"/>
      <c r="B119" s="88"/>
      <c r="C119" s="87"/>
      <c r="D119" s="69"/>
      <c r="E119" s="69"/>
      <c r="F119" s="87"/>
    </row>
    <row r="120" spans="1:11" s="14" customFormat="1" ht="15" customHeight="1" x14ac:dyDescent="0.2">
      <c r="A120" s="69"/>
      <c r="B120" s="88"/>
      <c r="C120" s="87"/>
      <c r="D120" s="69"/>
      <c r="E120" s="69"/>
      <c r="F120" s="87"/>
    </row>
    <row r="121" spans="1:11" s="14" customFormat="1" ht="15" customHeight="1" x14ac:dyDescent="0.2">
      <c r="A121" s="69"/>
      <c r="B121" s="88"/>
      <c r="C121" s="87"/>
      <c r="D121" s="69"/>
      <c r="E121" s="69"/>
      <c r="F121" s="87"/>
    </row>
    <row r="122" spans="1:11" s="14" customFormat="1" ht="15" customHeight="1" x14ac:dyDescent="0.2">
      <c r="A122" s="69"/>
      <c r="B122" s="88"/>
      <c r="C122" s="87"/>
      <c r="D122" s="69"/>
      <c r="E122" s="69"/>
      <c r="F122" s="87"/>
    </row>
    <row r="123" spans="1:11" s="14" customFormat="1" ht="15" customHeight="1" x14ac:dyDescent="0.2">
      <c r="A123" s="69"/>
      <c r="B123" s="88"/>
      <c r="C123" s="87"/>
      <c r="D123" s="69"/>
      <c r="E123" s="69"/>
      <c r="F123" s="87"/>
      <c r="H123" s="17"/>
      <c r="I123" s="17"/>
      <c r="J123" s="17"/>
      <c r="K123" s="17"/>
    </row>
    <row r="124" spans="1:11" s="17" customFormat="1" ht="15" customHeight="1" x14ac:dyDescent="0.2">
      <c r="A124" s="69"/>
      <c r="B124" s="88"/>
      <c r="C124" s="33"/>
      <c r="D124" s="69"/>
      <c r="E124" s="69"/>
    </row>
    <row r="125" spans="1:11" s="17" customFormat="1" ht="15" customHeight="1" x14ac:dyDescent="0.2">
      <c r="A125" s="69"/>
      <c r="B125" s="88"/>
      <c r="C125" s="33"/>
      <c r="D125" s="69"/>
      <c r="E125" s="69"/>
      <c r="F125" s="33"/>
    </row>
    <row r="126" spans="1:11" s="17" customFormat="1" ht="15" customHeight="1" x14ac:dyDescent="0.2">
      <c r="A126" s="69"/>
      <c r="B126" s="88"/>
      <c r="C126" s="33"/>
      <c r="D126" s="69"/>
      <c r="E126" s="69"/>
      <c r="F126" s="33"/>
    </row>
    <row r="127" spans="1:11" s="17" customFormat="1" ht="15" customHeight="1" x14ac:dyDescent="0.2">
      <c r="A127" s="69"/>
      <c r="B127" s="88"/>
      <c r="C127" s="33"/>
      <c r="D127" s="69"/>
      <c r="E127" s="69"/>
      <c r="F127" s="33"/>
    </row>
    <row r="128" spans="1:11" s="17" customFormat="1" ht="15" customHeight="1" x14ac:dyDescent="0.2">
      <c r="A128" s="69"/>
      <c r="B128" s="88"/>
      <c r="C128" s="33"/>
      <c r="D128" s="69"/>
      <c r="E128" s="69"/>
      <c r="F128" s="33"/>
    </row>
    <row r="129" spans="1:11" s="17" customFormat="1" ht="15" customHeight="1" x14ac:dyDescent="0.2">
      <c r="A129" s="69"/>
      <c r="B129" s="88"/>
      <c r="C129" s="33" t="s">
        <v>72</v>
      </c>
      <c r="D129" s="69"/>
      <c r="E129" s="69"/>
      <c r="F129" s="33"/>
    </row>
    <row r="130" spans="1:11" s="17" customFormat="1" ht="15" customHeight="1" x14ac:dyDescent="0.2">
      <c r="A130" s="69"/>
      <c r="B130" s="88"/>
      <c r="C130" s="33"/>
      <c r="D130" s="69"/>
      <c r="E130" s="69"/>
      <c r="F130" s="33"/>
    </row>
    <row r="131" spans="1:11" s="17" customFormat="1" ht="15" customHeight="1" x14ac:dyDescent="0.2">
      <c r="A131" s="69"/>
      <c r="B131" s="88"/>
      <c r="C131" s="33"/>
      <c r="D131" s="69"/>
      <c r="E131" s="69"/>
      <c r="F131" s="33"/>
    </row>
    <row r="132" spans="1:11" s="17" customFormat="1" ht="15" customHeight="1" x14ac:dyDescent="0.2">
      <c r="A132" s="69"/>
      <c r="B132" s="88"/>
      <c r="C132" s="33"/>
      <c r="D132" s="69"/>
      <c r="E132" s="69"/>
      <c r="F132" s="33"/>
    </row>
    <row r="133" spans="1:11" s="17" customFormat="1" ht="15" customHeight="1" x14ac:dyDescent="0.2">
      <c r="A133" s="69"/>
      <c r="B133" s="88"/>
      <c r="C133" s="33"/>
      <c r="D133" s="69"/>
      <c r="E133" s="69"/>
      <c r="F133" s="33"/>
    </row>
    <row r="134" spans="1:11" s="17" customFormat="1" ht="15" customHeight="1" x14ac:dyDescent="0.2">
      <c r="A134" s="69"/>
      <c r="B134" s="88"/>
      <c r="C134" s="33"/>
      <c r="D134" s="69"/>
      <c r="E134" s="69"/>
      <c r="F134" s="33"/>
    </row>
    <row r="135" spans="1:11" s="17" customFormat="1" ht="15" customHeight="1" x14ac:dyDescent="0.2">
      <c r="A135" s="69"/>
      <c r="B135" s="88"/>
      <c r="C135" s="33"/>
      <c r="D135" s="69"/>
      <c r="E135" s="69"/>
      <c r="F135" s="33"/>
    </row>
    <row r="136" spans="1:11" s="17" customFormat="1" ht="15" customHeight="1" x14ac:dyDescent="0.2">
      <c r="A136" s="69"/>
      <c r="B136" s="88"/>
      <c r="C136" s="33"/>
      <c r="D136" s="69"/>
      <c r="E136" s="69"/>
      <c r="F136" s="33"/>
    </row>
    <row r="137" spans="1:11" s="17" customFormat="1" ht="15" customHeight="1" x14ac:dyDescent="0.2">
      <c r="A137" s="69"/>
      <c r="B137" s="88"/>
      <c r="C137" s="33"/>
      <c r="D137" s="69"/>
      <c r="E137" s="69"/>
      <c r="F137" s="33"/>
    </row>
    <row r="138" spans="1:11" s="17" customFormat="1" ht="15" customHeight="1" x14ac:dyDescent="0.2">
      <c r="A138" s="69"/>
      <c r="B138" s="88"/>
      <c r="C138" s="33"/>
      <c r="D138" s="69"/>
      <c r="E138" s="69"/>
      <c r="F138" s="33"/>
    </row>
    <row r="139" spans="1:11" s="17" customFormat="1" ht="15" customHeight="1" x14ac:dyDescent="0.2">
      <c r="A139" s="69"/>
      <c r="B139" s="88"/>
      <c r="C139" s="33"/>
      <c r="D139" s="69"/>
      <c r="E139" s="69"/>
      <c r="F139" s="33"/>
    </row>
    <row r="140" spans="1:11" s="17" customFormat="1" ht="15" customHeight="1" x14ac:dyDescent="0.2">
      <c r="A140" s="69"/>
      <c r="B140" s="88"/>
      <c r="C140" s="33"/>
      <c r="D140" s="69"/>
      <c r="E140" s="69"/>
      <c r="F140" s="33"/>
      <c r="H140" s="14"/>
      <c r="I140" s="14"/>
      <c r="J140" s="14"/>
      <c r="K140" s="14"/>
    </row>
    <row r="141" spans="1:11" s="14" customFormat="1" ht="15" customHeight="1" x14ac:dyDescent="0.2">
      <c r="A141" s="69"/>
      <c r="B141" s="88"/>
      <c r="C141" s="32"/>
      <c r="D141" s="69"/>
      <c r="E141" s="69"/>
      <c r="F141" s="32"/>
    </row>
    <row r="142" spans="1:11" s="14" customFormat="1" ht="15" customHeight="1" x14ac:dyDescent="0.2">
      <c r="A142" s="69"/>
      <c r="B142" s="88"/>
      <c r="C142" s="32"/>
      <c r="D142" s="69"/>
      <c r="E142" s="69"/>
      <c r="F142" s="32"/>
    </row>
    <row r="143" spans="1:11" s="14" customFormat="1" ht="15" customHeight="1" x14ac:dyDescent="0.2">
      <c r="A143" s="69"/>
      <c r="B143" s="88"/>
      <c r="C143" s="32"/>
      <c r="D143" s="69"/>
      <c r="E143" s="69"/>
      <c r="F143" s="32"/>
    </row>
    <row r="144" spans="1:11" s="14" customFormat="1" ht="15" customHeight="1" x14ac:dyDescent="0.2">
      <c r="A144" s="69"/>
      <c r="B144" s="88"/>
      <c r="C144" s="32"/>
      <c r="D144" s="69"/>
      <c r="E144" s="69"/>
      <c r="F144" s="32"/>
    </row>
    <row r="145" spans="1:11" s="14" customFormat="1" ht="15" customHeight="1" x14ac:dyDescent="0.2">
      <c r="A145" s="69"/>
      <c r="B145" s="88"/>
      <c r="C145" s="32"/>
      <c r="D145" s="69"/>
      <c r="E145" s="69"/>
      <c r="F145" s="32"/>
    </row>
    <row r="146" spans="1:11" s="14" customFormat="1" ht="15" customHeight="1" x14ac:dyDescent="0.2">
      <c r="A146" s="69"/>
      <c r="B146" s="88"/>
      <c r="C146" s="32"/>
      <c r="D146" s="69"/>
      <c r="E146" s="69"/>
      <c r="F146" s="32"/>
    </row>
    <row r="147" spans="1:11" s="14" customFormat="1" ht="15" customHeight="1" x14ac:dyDescent="0.2">
      <c r="A147" s="69"/>
      <c r="B147" s="88"/>
      <c r="C147" s="32"/>
      <c r="D147" s="69"/>
      <c r="E147" s="69"/>
      <c r="F147" s="32"/>
    </row>
    <row r="148" spans="1:11" s="14" customFormat="1" ht="15" customHeight="1" x14ac:dyDescent="0.2">
      <c r="A148" s="69"/>
      <c r="B148" s="88"/>
      <c r="C148" s="32"/>
      <c r="D148" s="69"/>
      <c r="E148" s="69"/>
      <c r="F148" s="32"/>
      <c r="H148" s="41"/>
      <c r="I148" s="41"/>
      <c r="J148" s="41"/>
      <c r="K148" s="41"/>
    </row>
    <row r="149" spans="1:11" s="41" customFormat="1" ht="15" customHeight="1" x14ac:dyDescent="0.2">
      <c r="A149" s="69"/>
      <c r="B149" s="88"/>
      <c r="D149" s="69"/>
      <c r="E149" s="69"/>
      <c r="H149" s="69"/>
      <c r="I149" s="69"/>
      <c r="J149" s="69"/>
      <c r="K149" s="69"/>
    </row>
  </sheetData>
  <sheetProtection algorithmName="SHA-512" hashValue="KLV0haBZwCizf5Rd8XwRg/WixBNDsTaRZNHnbSSd6LyTPV7k+3Bn4mI5pAhMH/DglngKhhGYJpBJyX2oiYLUoQ==" saltValue="rAimcpyIu8RKZPxMbYYDvQ==" spinCount="100000" sheet="1" objects="1" scenarios="1"/>
  <mergeCells count="1">
    <mergeCell ref="A2:B2"/>
  </mergeCells>
  <phoneticPr fontId="11" type="noConversion"/>
  <dataValidations count="1">
    <dataValidation allowBlank="1" showInputMessage="1" showErrorMessage="1" prompt="Accrued interest is the interest that has built up since the last payment was made on loans entered in the loan entry page." sqref="B22"/>
  </dataValidations>
  <pageMargins left="0.75" right="0.75" top="1" bottom="1" header="0.5" footer="0.5"/>
  <pageSetup orientation="portrait" horizontalDpi="4294967293" verticalDpi="1200" r:id="rId1"/>
  <headerFooter alignWithMargins="0"/>
  <rowBreaks count="1" manualBreakCount="1">
    <brk id="8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8CC052"/>
  </sheetPr>
  <dimension ref="A1:AI76"/>
  <sheetViews>
    <sheetView showGridLines="0" showZeros="0" workbookViewId="0">
      <pane ySplit="2" topLeftCell="A3" activePane="bottomLeft" state="frozen"/>
      <selection pane="bottomLeft" activeCell="B5" sqref="B5"/>
    </sheetView>
  </sheetViews>
  <sheetFormatPr defaultColWidth="9.140625" defaultRowHeight="24.95" customHeight="1" x14ac:dyDescent="0.2"/>
  <cols>
    <col min="1" max="1" width="2.5703125" style="458" customWidth="1"/>
    <col min="2" max="2" width="34.5703125" style="92" customWidth="1"/>
    <col min="3" max="3" width="22.7109375" style="92" customWidth="1"/>
    <col min="4" max="4" width="12.5703125" style="92" customWidth="1"/>
    <col min="5" max="5" width="9.28515625" style="92" customWidth="1"/>
    <col min="6" max="6" width="12.85546875" style="92" customWidth="1"/>
    <col min="7" max="8" width="7.42578125" style="92" customWidth="1"/>
    <col min="9" max="9" width="6.85546875" style="92" customWidth="1"/>
    <col min="10" max="10" width="9.28515625" style="92" customWidth="1"/>
    <col min="11" max="12" width="9.28515625" style="92" hidden="1" customWidth="1"/>
    <col min="13" max="13" width="11.42578125" style="92" customWidth="1"/>
    <col min="14" max="14" width="11.42578125" style="92" hidden="1" customWidth="1"/>
    <col min="15" max="16" width="8.85546875" style="92" hidden="1" customWidth="1"/>
    <col min="17" max="19" width="6.28515625" style="92" hidden="1" customWidth="1"/>
    <col min="20" max="21" width="6" style="92" hidden="1" customWidth="1"/>
    <col min="22" max="22" width="12.42578125" style="92" hidden="1" customWidth="1"/>
    <col min="23" max="27" width="9" style="92" hidden="1" customWidth="1"/>
    <col min="28" max="28" width="39.7109375" style="92" hidden="1" customWidth="1"/>
    <col min="29" max="29" width="12.7109375" style="92" customWidth="1"/>
    <col min="30" max="30" width="12.140625" style="92" customWidth="1"/>
    <col min="31" max="31" width="12.7109375" style="92" customWidth="1"/>
    <col min="32" max="32" width="9.140625" style="651"/>
    <col min="33" max="33" width="9.140625" style="654"/>
    <col min="34" max="34" width="11.28515625" style="651" bestFit="1" customWidth="1"/>
    <col min="35" max="35" width="12" style="651" bestFit="1" customWidth="1"/>
    <col min="36" max="16384" width="9.140625" style="92"/>
  </cols>
  <sheetData>
    <row r="1" spans="1:35" ht="24.95" customHeight="1" x14ac:dyDescent="0.2">
      <c r="B1" s="89" t="s">
        <v>110</v>
      </c>
      <c r="C1" s="90"/>
      <c r="D1" s="90"/>
      <c r="E1" s="90"/>
      <c r="F1" s="91"/>
      <c r="G1" s="91"/>
      <c r="H1" s="91"/>
      <c r="I1" s="91"/>
      <c r="J1" s="91"/>
      <c r="K1" s="91"/>
      <c r="L1" s="91"/>
      <c r="AC1" s="955" t="s">
        <v>108</v>
      </c>
      <c r="AD1" s="956">
        <f>AD19+AD27+AD35+AD43+AD51+AD59</f>
        <v>0</v>
      </c>
      <c r="AH1" s="667">
        <f>AH19+AH27+AH35+AH43+AH51+AH59+AH67+AH75</f>
        <v>0</v>
      </c>
      <c r="AI1" s="667"/>
    </row>
    <row r="2" spans="1:35" ht="48.4" customHeight="1" x14ac:dyDescent="0.2">
      <c r="B2" s="15"/>
      <c r="C2" s="90"/>
      <c r="D2" s="90"/>
      <c r="E2" s="90"/>
      <c r="F2" s="91"/>
      <c r="G2" s="91"/>
      <c r="H2" s="91"/>
      <c r="I2" s="91"/>
      <c r="J2" s="91"/>
      <c r="K2" s="91"/>
      <c r="L2" s="91"/>
      <c r="AC2" s="955"/>
      <c r="AD2" s="956"/>
      <c r="AH2" s="667"/>
      <c r="AI2" s="667"/>
    </row>
    <row r="3" spans="1:35" s="94" customFormat="1" ht="24.95" customHeight="1" x14ac:dyDescent="0.2">
      <c r="A3" s="459"/>
      <c r="B3" s="957" t="s">
        <v>211</v>
      </c>
      <c r="C3" s="957"/>
      <c r="D3" s="957"/>
      <c r="E3" s="957"/>
      <c r="F3" s="957"/>
      <c r="G3" s="93"/>
      <c r="H3" s="93"/>
      <c r="I3" s="93"/>
      <c r="J3" s="93"/>
      <c r="K3" s="93"/>
      <c r="L3" s="93"/>
      <c r="Z3" s="660">
        <f>SUM(Z55:Z58,Z47:Z50,Z39:Z42,Z31:Z34,Z23:Z26,Z15:Z18,Z5:Z10)</f>
        <v>0</v>
      </c>
      <c r="AA3" s="95">
        <f>SUM(AA55:AA58,AA47:AA50,AA39:AA42,AA31:AA34,AA23:AA26,AA15:AA18,AA5:AA10)</f>
        <v>0</v>
      </c>
      <c r="AC3" s="654" t="s">
        <v>432</v>
      </c>
      <c r="AD3" s="653">
        <f>IF(HowSell="direct to processor",SUMIF(D15:D18,"Ag Business",AC15:AC18)+SUMIF(D23:D26,"ag business",AC23:AC26)+SUMIF(D31:D34,"ag business",AC31:AC34)+SUMIF(D39:D42,"ag business",AC39:AC42)+SUMIF(D47:D50,"ag business",AC47:AC50)+SUMIF(D55:D58,"ag business",AC55:AC58),SUM(AC15:AC18,AC23:AC26,AC31:AC34,AC39:AC42,AC47:AC50,AC55:AC58))+SUM(AC63:AC66,AC71:AC74)</f>
        <v>0</v>
      </c>
      <c r="AE3" s="655">
        <f>IF(HowSell="direct to processor",SUMIF(D15:D18,"Ag Business",AF15:AF18)+SUMIF(D23:D26,"ag business",AF23:AF26)+SUMIF(D31:D34,"ag business",AF31:AF34)+SUMIF(D39:D42,"ag business",AF39:AF42)+SUMIF(D47:D50,"ag business",AF47:AF50)+SUMIF(D55:D58,"ag business",AF55:AF58),SUM(AF15:AF18,AF23:AF26,AF31:AF34,AF39:AF42,AF47:AF50,AF55:AF58))+SUM(AF63:AF66,AF71:AF74)+IF(HowSell="Direct to Processor",LoanProjSumAgBusPayment,LoanProjSumAgBusPayment+LoanProjSumDMBusPayment)+LoanProjSumPersPayment+LoanProjSumPersREPayment</f>
        <v>0</v>
      </c>
      <c r="AF3" s="652"/>
      <c r="AG3" s="668"/>
      <c r="AH3" s="669"/>
      <c r="AI3" s="669"/>
    </row>
    <row r="4" spans="1:35" s="94" customFormat="1" ht="24.95" customHeight="1" thickBot="1" x14ac:dyDescent="0.25">
      <c r="A4" s="459"/>
      <c r="B4" s="478" t="s">
        <v>91</v>
      </c>
      <c r="C4" s="479" t="s">
        <v>92</v>
      </c>
      <c r="D4" s="479" t="s">
        <v>176</v>
      </c>
      <c r="E4" s="480" t="s">
        <v>93</v>
      </c>
      <c r="F4" s="480" t="s">
        <v>115</v>
      </c>
      <c r="G4" s="481" t="s">
        <v>97</v>
      </c>
      <c r="H4" s="481" t="s">
        <v>231</v>
      </c>
      <c r="I4" s="481" t="s">
        <v>104</v>
      </c>
      <c r="J4" s="481" t="s">
        <v>114</v>
      </c>
      <c r="K4" s="573"/>
      <c r="L4" s="574"/>
      <c r="M4" s="481" t="s">
        <v>98</v>
      </c>
      <c r="N4" s="573"/>
      <c r="O4" s="571" t="s">
        <v>102</v>
      </c>
      <c r="P4" s="571"/>
      <c r="Q4" s="571" t="s">
        <v>107</v>
      </c>
      <c r="R4" s="571" t="s">
        <v>185</v>
      </c>
      <c r="S4" s="571" t="s">
        <v>438</v>
      </c>
      <c r="T4" s="571" t="s">
        <v>199</v>
      </c>
      <c r="U4" s="571" t="s">
        <v>205</v>
      </c>
      <c r="V4" s="571" t="s">
        <v>183</v>
      </c>
      <c r="W4" s="571" t="s">
        <v>184</v>
      </c>
      <c r="X4" s="571" t="s">
        <v>197</v>
      </c>
      <c r="Y4" s="571" t="s">
        <v>198</v>
      </c>
      <c r="Z4" s="571" t="s">
        <v>435</v>
      </c>
      <c r="AA4" s="571" t="s">
        <v>434</v>
      </c>
      <c r="AB4" s="571" t="s">
        <v>106</v>
      </c>
      <c r="AC4" s="481" t="s">
        <v>210</v>
      </c>
      <c r="AD4" s="481" t="s">
        <v>201</v>
      </c>
      <c r="AE4" s="481" t="s">
        <v>113</v>
      </c>
      <c r="AF4" s="670"/>
      <c r="AG4" s="671"/>
      <c r="AH4" s="672"/>
      <c r="AI4" s="669"/>
    </row>
    <row r="5" spans="1:35" s="94" customFormat="1" ht="24.95" customHeight="1" thickTop="1" x14ac:dyDescent="0.2">
      <c r="A5" s="460">
        <f>IF('Loan Entry'!$M5&gt;0,DATE((G5+1),1,1),"")</f>
        <v>367</v>
      </c>
      <c r="B5" s="321"/>
      <c r="C5" s="322"/>
      <c r="D5" s="322"/>
      <c r="E5" s="935"/>
      <c r="F5" s="323"/>
      <c r="G5" s="486">
        <f t="shared" ref="G5:G10" si="0">IF(D5&lt;&gt;0,Year,)</f>
        <v>0</v>
      </c>
      <c r="H5" s="486" t="str">
        <f t="shared" ref="H5:H10" si="1">IF(G5&lt;&gt;0,G5+1,"")</f>
        <v/>
      </c>
      <c r="I5" s="486" t="str">
        <f t="shared" ref="I5:I10" si="2">IF(G5&gt;0,1,"")</f>
        <v/>
      </c>
      <c r="J5" s="324"/>
      <c r="K5" s="486"/>
      <c r="L5" s="452" t="str">
        <f>IF('Loan Entry'!$J5&gt;0,DATE(G5,INDEX(Inputs!$C$4:$D$15,MATCH(J5,Months,0),2),1),"")</f>
        <v/>
      </c>
      <c r="M5" s="486" t="str">
        <f t="shared" ref="M5:M10" si="3">IF(J5&gt;0,"Annual","")</f>
        <v/>
      </c>
      <c r="N5" s="486" t="e">
        <f t="shared" ref="N5:N10" si="4">IF(M5&lt;&gt;0,IF(AND(K5="yes",M5="Monthly")=TRUE,CHOOSE(R5,"January","February","March","April","May","June","July","August","September","October","November","December"),RIGHT(AB5,3)),"")</f>
        <v>#N/A</v>
      </c>
      <c r="O5" s="449" t="e">
        <f>IF('Loan Entry'!$M5&gt;0,'Loan Entry'!$I5*'Loan Entry'!$Q5,"")</f>
        <v>#VALUE!</v>
      </c>
      <c r="P5" s="449"/>
      <c r="Q5" s="449">
        <f t="shared" ref="Q5:Q10" si="5">IF(M5&gt;0,IF(M5="Monthly",12,IF(M5="Quarterly",4,IF(M5="Semi-Annual",2,1))),"")</f>
        <v>1</v>
      </c>
      <c r="R5" s="575" t="e">
        <f t="shared" ref="R5:R10" si="6">IF(M5&gt;0,IF(M5="Annual",1,(YEARFRAC(L5,A5,))*12),"")</f>
        <v>#VALUE!</v>
      </c>
      <c r="S5" s="575" t="e">
        <f>IF(M5&gt;0,INDEX(Inputs!$J$26:$K$37,MATCH('Loan Entry'!N5,Inputs!$J$26:$J$37,0),2)/12,0)</f>
        <v>#N/A</v>
      </c>
      <c r="T5" s="575">
        <f t="shared" ref="T5:T10" si="7">ROUNDUP(IF(M5="Monthly",12*(R5/Q5),IF(M5="Quarterly",((R5/12)*Q5),IF(M5="Semi-Annual",IF(((R5/12)*Q5)&gt;1,2,1),1))),0)</f>
        <v>1</v>
      </c>
      <c r="U5" s="449">
        <f t="shared" ref="U5:U10" si="8">IF(M5&gt;0,T5/Q5,"")</f>
        <v>1</v>
      </c>
      <c r="V5" s="576" t="e">
        <f>IF('Loan Entry'!$M5&gt;0,IF(U5=1,X5/T5,(X5/T5)),"")</f>
        <v>#VALUE!</v>
      </c>
      <c r="W5" s="576">
        <f>IF('Loan Entry'!$M5&gt;0,IF(U5=1,Y5/T5,U5*(Y5/T5)),"")</f>
        <v>0</v>
      </c>
      <c r="X5" s="576" t="str">
        <f>IF(E5&gt;0,IF('Loan Entry'!$M5&lt;&gt;0,CUMPRINC(E5/Q5,O5,F5,1,T5,0)*-1,),'Loan Entry'!$AC5)</f>
        <v/>
      </c>
      <c r="Y5" s="576">
        <f>IF(J5&gt;0,IF(E5&gt;0,IF('Loan Entry'!$M5&lt;&gt;0,CUMIPMT((E5/Q5),(O5),AE5,1,T5,0)*-1,),0)*S5,0)</f>
        <v>0</v>
      </c>
      <c r="Z5" s="576">
        <f>IF(J5&gt;0,IF(E5&gt;0,IF('Loan Entry'!$M5&lt;&gt;0,CUMIPMT((E5/Q5),(O5),AE5,1,T5,0)*-1,),0)*S5,0)</f>
        <v>0</v>
      </c>
      <c r="AA5" s="576"/>
      <c r="AB5" s="576" t="e">
        <f>IF(M5&lt;&gt;0,IF(M5="annual",INDEX(Inputs!$C$4:$E$15,MATCH('Loan Entry'!J5,Months,0),3),IF(M5="semi-annual",IF(T5=2,CONCATENATE(INDEX(Inputs!$C$4:$E$15,MATCH('Loan Entry'!J5,Months,0),3),",",INDEX(Inputs!$C$4:$E$15,MATCH(MONTH(L5+190),Inputs!$D$4:$D$15,0),3)),INDEX(Inputs!$C$4:$E$15,MATCH('Loan Entry'!J5,Months,0),3)),IF(M5="Quarterly",IF(T5=4,CONCATENATE(INDEX(Inputs!$C$4:$E$15,MATCH('Loan Entry'!J5,Months,0),3),",",INDEX(Inputs!$C$4:$E$15,MATCH(MONTH(L5+95),Inputs!$D$4:$D$15,0),3),",",INDEX(Inputs!$C$4:$E$15,MATCH(MONTH(L5+190),Inputs!$D$4:$D$15,0),3),",",INDEX(Inputs!$C$4:$E$15,MATCH(MONTH(L5+275),Inputs!$D$4:$D$15,0),3)),IF(T5=3,CONCATENATE(INDEX(Inputs!$C$4:$E$15,MATCH('Loan Entry'!J5,Months,0),3),",",INDEX(Inputs!$C$4:$E$15,MATCH(MONTH(L5+95),Inputs!$D$4:$D$15,0),3),",",INDEX(Inputs!$C$4:$E$15,MATCH(MONTH(L5+190),Inputs!$D$4:$D$15,0),3)),IF(T5=2,CONCATENATE(INDEX(Inputs!$C$4:$E$15,MATCH('Loan Entry'!J5,Months,0),3),",",INDEX(Inputs!$C$4:$E$15,MATCH(MONTH(L5+95),Inputs!$D$4:$D$15,0),3)),INDEX(Inputs!$C$4:$E$15,MATCH('Loan Entry'!J5,Months,0),3)))),INDEX(Inputs!$C$4:$F$15,MATCH('Loan Entry'!J5,Months,0),4)))),0)</f>
        <v>#N/A</v>
      </c>
      <c r="AC5" s="920" t="str">
        <f>IF(F5&lt;&gt;0,Z5,"")</f>
        <v/>
      </c>
      <c r="AD5" s="920" t="str">
        <f t="shared" ref="AD5:AD10" si="9">IF(F5&lt;&gt;0,PMT(E5,1,F5*-1),"")</f>
        <v/>
      </c>
      <c r="AE5" s="280" t="str">
        <f>IF('Loan Entry'!$F5&lt;&gt;0,'Loan Entry'!$F5,"")</f>
        <v/>
      </c>
      <c r="AF5" s="670"/>
      <c r="AG5" s="671"/>
      <c r="AH5" s="672"/>
      <c r="AI5" s="669"/>
    </row>
    <row r="6" spans="1:35" s="94" customFormat="1" ht="24.95" customHeight="1" x14ac:dyDescent="0.2">
      <c r="A6" s="459"/>
      <c r="B6" s="325"/>
      <c r="C6" s="326"/>
      <c r="D6" s="326"/>
      <c r="E6" s="936"/>
      <c r="F6" s="327"/>
      <c r="G6" s="487">
        <f t="shared" si="0"/>
        <v>0</v>
      </c>
      <c r="H6" s="487" t="str">
        <f t="shared" si="1"/>
        <v/>
      </c>
      <c r="I6" s="487" t="str">
        <f t="shared" si="2"/>
        <v/>
      </c>
      <c r="J6" s="328"/>
      <c r="K6" s="487"/>
      <c r="L6" s="487" t="str">
        <f>IF('Loan Entry'!$J6&gt;0,DATE(G6,INDEX(Inputs!$C$4:$D$15,MATCH(J6,Months,0),2),1),"")</f>
        <v/>
      </c>
      <c r="M6" s="489" t="str">
        <f t="shared" si="3"/>
        <v/>
      </c>
      <c r="N6" s="572" t="e">
        <f t="shared" si="4"/>
        <v>#N/A</v>
      </c>
      <c r="O6" s="577" t="e">
        <f>IF('Loan Entry'!$M6&gt;0,'Loan Entry'!$I6*'Loan Entry'!$Q6,"")</f>
        <v>#VALUE!</v>
      </c>
      <c r="P6" s="577"/>
      <c r="Q6" s="455">
        <f t="shared" si="5"/>
        <v>1</v>
      </c>
      <c r="R6" s="455" t="e">
        <f t="shared" si="6"/>
        <v>#VALUE!</v>
      </c>
      <c r="S6" s="455" t="e">
        <f>IF(M6&gt;0,INDEX(Inputs!$J$26:$K$37,MATCH('Loan Entry'!N6,Inputs!$J$26:$J$37,0),2)/12,0)</f>
        <v>#N/A</v>
      </c>
      <c r="T6" s="455">
        <f t="shared" si="7"/>
        <v>1</v>
      </c>
      <c r="U6" s="455">
        <f t="shared" si="8"/>
        <v>1</v>
      </c>
      <c r="V6" s="455" t="e">
        <f>IF('Loan Entry'!$M6&gt;0,IF(U6=1,X6/T6,(X6/T6)),"")</f>
        <v>#VALUE!</v>
      </c>
      <c r="W6" s="455">
        <f>IF('Loan Entry'!$M6&gt;0,IF(U6=1,Y6/T6,U6*(Y6/T6)),"")</f>
        <v>0</v>
      </c>
      <c r="X6" s="455" t="str">
        <f>IF(E6&gt;0,IF('Loan Entry'!$M6&lt;&gt;0,CUMPRINC(E6/Q6,O6,F6,1,T6,0)*-1,),'Loan Entry'!$AC6)</f>
        <v/>
      </c>
      <c r="Y6" s="455">
        <f>IF(J6&gt;0,IF(E6&gt;0,IF('Loan Entry'!$M6&lt;&gt;0,CUMIPMT((E6/Q6),(O6),AE6,1,T6,0)*-1,),0)*S6,0)</f>
        <v>0</v>
      </c>
      <c r="Z6" s="455">
        <f>IF(J6&gt;0,IF(E6&gt;0,IF('Loan Entry'!$M6&lt;&gt;0,CUMIPMT((E6/Q6),(O6),AE6,1,T6,0)*-1,),0)*S6,0)</f>
        <v>0</v>
      </c>
      <c r="AA6" s="455"/>
      <c r="AB6" s="455" t="e">
        <f>IF(M6&lt;&gt;0,IF(M6="annual",INDEX(Inputs!$C$4:$E$15,MATCH('Loan Entry'!J6,Months,0),3),IF(M6="semi-annual",IF(T6=2,CONCATENATE(INDEX(Inputs!$C$4:$E$15,MATCH('Loan Entry'!J6,Months,0),3),",",INDEX(Inputs!$C$4:$E$15,MATCH(MONTH(L6+190),Inputs!$D$4:$D$15,0),3)),INDEX(Inputs!$C$4:$E$15,MATCH('Loan Entry'!J6,Months,0),3)),IF(M6="Quarterly",IF(T6=4,CONCATENATE(INDEX(Inputs!$C$4:$E$15,MATCH('Loan Entry'!J6,Months,0),3),",",INDEX(Inputs!$C$4:$E$15,MATCH(MONTH(L6+95),Inputs!$D$4:$D$15,0),3),",",INDEX(Inputs!$C$4:$E$15,MATCH(MONTH(L6+190),Inputs!$D$4:$D$15,0),3),",",INDEX(Inputs!$C$4:$E$15,MATCH(MONTH(L6+275),Inputs!$D$4:$D$15,0),3)),IF(T6=3,CONCATENATE(INDEX(Inputs!$C$4:$E$15,MATCH('Loan Entry'!J6,Months,0),3),",",INDEX(Inputs!$C$4:$E$15,MATCH(MONTH(L6+95),Inputs!$D$4:$D$15,0),3),",",INDEX(Inputs!$C$4:$E$15,MATCH(MONTH(L6+190),Inputs!$D$4:$D$15,0),3)),IF(T6=2,CONCATENATE(INDEX(Inputs!$C$4:$E$15,MATCH('Loan Entry'!J6,Months,0),3),",",INDEX(Inputs!$C$4:$E$15,MATCH(MONTH(L6+95),Inputs!$D$4:$D$15,0),3)),INDEX(Inputs!$C$4:$E$15,MATCH('Loan Entry'!J6,Months,0),3)))),INDEX(Inputs!$C$4:$F$15,MATCH('Loan Entry'!J6,Months,0),4)))),0)</f>
        <v>#N/A</v>
      </c>
      <c r="AC6" s="921" t="str">
        <f t="shared" ref="AC6:AC10" si="10">IF(F6&lt;&gt;0,Z6,"")</f>
        <v/>
      </c>
      <c r="AD6" s="921" t="str">
        <f t="shared" si="9"/>
        <v/>
      </c>
      <c r="AE6" s="281" t="str">
        <f>IF('Loan Entry'!$F6&lt;&gt;0,'Loan Entry'!$F6,"")</f>
        <v/>
      </c>
      <c r="AF6" s="670"/>
      <c r="AG6" s="671"/>
      <c r="AH6" s="672"/>
      <c r="AI6" s="669"/>
    </row>
    <row r="7" spans="1:35" s="94" customFormat="1" ht="24.95" customHeight="1" x14ac:dyDescent="0.2">
      <c r="A7" s="459"/>
      <c r="B7" s="329"/>
      <c r="C7" s="330"/>
      <c r="D7" s="330"/>
      <c r="E7" s="937"/>
      <c r="F7" s="331"/>
      <c r="G7" s="488">
        <f t="shared" si="0"/>
        <v>0</v>
      </c>
      <c r="H7" s="488" t="str">
        <f t="shared" si="1"/>
        <v/>
      </c>
      <c r="I7" s="488" t="str">
        <f t="shared" si="2"/>
        <v/>
      </c>
      <c r="J7" s="332"/>
      <c r="K7" s="488"/>
      <c r="L7" s="488" t="str">
        <f>IF('Loan Entry'!$J7&gt;0,DATE(G7,INDEX(Inputs!$C$4:$D$15,MATCH(J7,Months,0),2),1),"")</f>
        <v/>
      </c>
      <c r="M7" s="489" t="str">
        <f t="shared" si="3"/>
        <v/>
      </c>
      <c r="N7" s="489" t="e">
        <f t="shared" si="4"/>
        <v>#N/A</v>
      </c>
      <c r="O7" s="578" t="e">
        <f>IF('Loan Entry'!$M7&gt;0,'Loan Entry'!$I7*'Loan Entry'!$Q7,"")</f>
        <v>#VALUE!</v>
      </c>
      <c r="P7" s="456"/>
      <c r="Q7" s="456">
        <f t="shared" si="5"/>
        <v>1</v>
      </c>
      <c r="R7" s="456" t="e">
        <f t="shared" si="6"/>
        <v>#VALUE!</v>
      </c>
      <c r="S7" s="456" t="e">
        <f>IF(M7&gt;0,INDEX(Inputs!$J$26:$K$37,MATCH('Loan Entry'!N7,Inputs!$J$26:$J$37,0),2)/12,0)</f>
        <v>#N/A</v>
      </c>
      <c r="T7" s="456">
        <f t="shared" si="7"/>
        <v>1</v>
      </c>
      <c r="U7" s="456">
        <f t="shared" si="8"/>
        <v>1</v>
      </c>
      <c r="V7" s="456" t="e">
        <f>IF('Loan Entry'!$M7&gt;0,IF(U7=1,X7/T7,(X7/T7)),"")</f>
        <v>#VALUE!</v>
      </c>
      <c r="W7" s="456">
        <f>IF('Loan Entry'!$M7&gt;0,IF(U7=1,Y7/T7,U7*(Y7/T7)),"")</f>
        <v>0</v>
      </c>
      <c r="X7" s="456" t="str">
        <f>IF(E7&gt;0,IF('Loan Entry'!$M7&lt;&gt;0,CUMPRINC(E7/Q7,O7,F7,1,T7,0)*-1,),'Loan Entry'!$AC7)</f>
        <v/>
      </c>
      <c r="Y7" s="456">
        <f>IF(J7&gt;0,IF(E7&gt;0,IF('Loan Entry'!$M7&lt;&gt;0,CUMIPMT((E7/Q7),(O7),AE7,1,T7,0)*-1,),0)*S7,0)</f>
        <v>0</v>
      </c>
      <c r="Z7" s="456">
        <f>IF(J7&gt;0,IF(E7&gt;0,IF('Loan Entry'!$M7&lt;&gt;0,CUMIPMT((E7/Q7),(O7),AE7,1,T7,0)*-1,),0)*S7,0)</f>
        <v>0</v>
      </c>
      <c r="AA7" s="456"/>
      <c r="AB7" s="456" t="e">
        <f>IF(M7&lt;&gt;0,IF(M7="annual",INDEX(Inputs!$C$4:$E$15,MATCH('Loan Entry'!J7,Months,0),3),IF(M7="semi-annual",IF(T7=2,CONCATENATE(INDEX(Inputs!$C$4:$E$15,MATCH('Loan Entry'!J7,Months,0),3),",",INDEX(Inputs!$C$4:$E$15,MATCH(MONTH(L7+190),Inputs!$D$4:$D$15,0),3)),INDEX(Inputs!$C$4:$E$15,MATCH('Loan Entry'!J7,Months,0),3)),IF(M7="Quarterly",IF(T7=4,CONCATENATE(INDEX(Inputs!$C$4:$E$15,MATCH('Loan Entry'!J7,Months,0),3),",",INDEX(Inputs!$C$4:$E$15,MATCH(MONTH(L7+95),Inputs!$D$4:$D$15,0),3),",",INDEX(Inputs!$C$4:$E$15,MATCH(MONTH(L7+190),Inputs!$D$4:$D$15,0),3),",",INDEX(Inputs!$C$4:$E$15,MATCH(MONTH(L7+275),Inputs!$D$4:$D$15,0),3)),IF(T7=3,CONCATENATE(INDEX(Inputs!$C$4:$E$15,MATCH('Loan Entry'!J7,Months,0),3),",",INDEX(Inputs!$C$4:$E$15,MATCH(MONTH(L7+95),Inputs!$D$4:$D$15,0),3),",",INDEX(Inputs!$C$4:$E$15,MATCH(MONTH(L7+190),Inputs!$D$4:$D$15,0),3)),IF(T7=2,CONCATENATE(INDEX(Inputs!$C$4:$E$15,MATCH('Loan Entry'!J7,Months,0),3),",",INDEX(Inputs!$C$4:$E$15,MATCH(MONTH(L7+95),Inputs!$D$4:$D$15,0),3)),INDEX(Inputs!$C$4:$E$15,MATCH('Loan Entry'!J7,Months,0),3)))),INDEX(Inputs!$C$4:$F$15,MATCH('Loan Entry'!J7,Months,0),4)))),0)</f>
        <v>#N/A</v>
      </c>
      <c r="AC7" s="922" t="str">
        <f t="shared" si="10"/>
        <v/>
      </c>
      <c r="AD7" s="922" t="str">
        <f t="shared" si="9"/>
        <v/>
      </c>
      <c r="AE7" s="282" t="str">
        <f>IF('Loan Entry'!$F7&lt;&gt;0,'Loan Entry'!$F7,"")</f>
        <v/>
      </c>
      <c r="AF7" s="652"/>
      <c r="AG7" s="666"/>
      <c r="AH7" s="669"/>
      <c r="AI7" s="669"/>
    </row>
    <row r="8" spans="1:35" s="94" customFormat="1" ht="24.95" customHeight="1" x14ac:dyDescent="0.2">
      <c r="A8" s="459"/>
      <c r="B8" s="325"/>
      <c r="C8" s="326"/>
      <c r="D8" s="326"/>
      <c r="E8" s="936"/>
      <c r="F8" s="327"/>
      <c r="G8" s="487">
        <f t="shared" si="0"/>
        <v>0</v>
      </c>
      <c r="H8" s="487" t="str">
        <f t="shared" si="1"/>
        <v/>
      </c>
      <c r="I8" s="487" t="str">
        <f t="shared" si="2"/>
        <v/>
      </c>
      <c r="J8" s="328"/>
      <c r="K8" s="487"/>
      <c r="L8" s="487" t="str">
        <f>IF('Loan Entry'!$J8&gt;0,DATE(G8,INDEX(Inputs!$C$4:$D$15,MATCH(J8,Months,0),2),1),"")</f>
        <v/>
      </c>
      <c r="M8" s="489" t="str">
        <f t="shared" si="3"/>
        <v/>
      </c>
      <c r="N8" s="489" t="e">
        <f t="shared" si="4"/>
        <v>#N/A</v>
      </c>
      <c r="O8" s="579" t="e">
        <f>IF('Loan Entry'!$M8&gt;0,'Loan Entry'!$I8*'Loan Entry'!$Q8,"")</f>
        <v>#VALUE!</v>
      </c>
      <c r="P8" s="455"/>
      <c r="Q8" s="455">
        <f t="shared" si="5"/>
        <v>1</v>
      </c>
      <c r="R8" s="455" t="e">
        <f t="shared" si="6"/>
        <v>#VALUE!</v>
      </c>
      <c r="S8" s="455" t="e">
        <f>IF(M8&gt;0,INDEX(Inputs!$J$26:$K$37,MATCH('Loan Entry'!N8,Inputs!$J$26:$J$37,0),2)/12,0)</f>
        <v>#N/A</v>
      </c>
      <c r="T8" s="455">
        <f t="shared" si="7"/>
        <v>1</v>
      </c>
      <c r="U8" s="455">
        <f t="shared" si="8"/>
        <v>1</v>
      </c>
      <c r="V8" s="455" t="e">
        <f>IF('Loan Entry'!$M8&gt;0,IF(U8=1,X8/T8,(X8/T8)),"")</f>
        <v>#VALUE!</v>
      </c>
      <c r="W8" s="455">
        <f>IF('Loan Entry'!$M8&gt;0,IF(U8=1,Y8/T8,U8*(Y8/T8)),"")</f>
        <v>0</v>
      </c>
      <c r="X8" s="455" t="str">
        <f>IF(E8&gt;0,IF('Loan Entry'!$M8&lt;&gt;0,CUMPRINC(E8/Q8,O8,F8,1,T8,0)*-1,),'Loan Entry'!$AC8)</f>
        <v/>
      </c>
      <c r="Y8" s="455">
        <f>IF(J8&gt;0,IF(E8&gt;0,IF('Loan Entry'!$M8&lt;&gt;0,CUMIPMT((E8/Q8),(O8),AE8,1,T8,0)*-1,),0)*S8,0)</f>
        <v>0</v>
      </c>
      <c r="Z8" s="455">
        <f>IF(J8&gt;0,IF(E8&gt;0,IF('Loan Entry'!$M8&lt;&gt;0,CUMIPMT((E8/Q8),(O8),AE8,1,T8,0)*-1,),0)*S8,0)</f>
        <v>0</v>
      </c>
      <c r="AA8" s="455"/>
      <c r="AB8" s="455" t="e">
        <f>IF(M8&lt;&gt;0,IF(M8="annual",INDEX(Inputs!$C$4:$E$15,MATCH('Loan Entry'!J8,Months,0),3),IF(M8="semi-annual",IF(T8=2,CONCATENATE(INDEX(Inputs!$C$4:$E$15,MATCH('Loan Entry'!J8,Months,0),3),",",INDEX(Inputs!$C$4:$E$15,MATCH(MONTH(L8+190),Inputs!$D$4:$D$15,0),3)),INDEX(Inputs!$C$4:$E$15,MATCH('Loan Entry'!J8,Months,0),3)),IF(M8="Quarterly",IF(T8=4,CONCATENATE(INDEX(Inputs!$C$4:$E$15,MATCH('Loan Entry'!J8,Months,0),3),",",INDEX(Inputs!$C$4:$E$15,MATCH(MONTH(L8+95),Inputs!$D$4:$D$15,0),3),",",INDEX(Inputs!$C$4:$E$15,MATCH(MONTH(L8+190),Inputs!$D$4:$D$15,0),3),",",INDEX(Inputs!$C$4:$E$15,MATCH(MONTH(L8+275),Inputs!$D$4:$D$15,0),3)),IF(T8=3,CONCATENATE(INDEX(Inputs!$C$4:$E$15,MATCH('Loan Entry'!J8,Months,0),3),",",INDEX(Inputs!$C$4:$E$15,MATCH(MONTH(L8+95),Inputs!$D$4:$D$15,0),3),",",INDEX(Inputs!$C$4:$E$15,MATCH(MONTH(L8+190),Inputs!$D$4:$D$15,0),3)),IF(T8=2,CONCATENATE(INDEX(Inputs!$C$4:$E$15,MATCH('Loan Entry'!J8,Months,0),3),",",INDEX(Inputs!$C$4:$E$15,MATCH(MONTH(L8+95),Inputs!$D$4:$D$15,0),3)),INDEX(Inputs!$C$4:$E$15,MATCH('Loan Entry'!J8,Months,0),3)))),INDEX(Inputs!$C$4:$F$15,MATCH('Loan Entry'!J8,Months,0),4)))),0)</f>
        <v>#N/A</v>
      </c>
      <c r="AC8" s="921" t="str">
        <f t="shared" si="10"/>
        <v/>
      </c>
      <c r="AD8" s="921" t="str">
        <f t="shared" si="9"/>
        <v/>
      </c>
      <c r="AE8" s="281" t="str">
        <f>IF('Loan Entry'!$F8&lt;&gt;0,'Loan Entry'!$F8,"")</f>
        <v/>
      </c>
      <c r="AF8" s="652"/>
      <c r="AG8" s="666"/>
      <c r="AH8" s="669"/>
      <c r="AI8" s="669"/>
    </row>
    <row r="9" spans="1:35" ht="24.95" customHeight="1" x14ac:dyDescent="0.2">
      <c r="B9" s="329"/>
      <c r="C9" s="330"/>
      <c r="D9" s="330"/>
      <c r="E9" s="937"/>
      <c r="F9" s="331"/>
      <c r="G9" s="488">
        <f t="shared" si="0"/>
        <v>0</v>
      </c>
      <c r="H9" s="488" t="str">
        <f t="shared" si="1"/>
        <v/>
      </c>
      <c r="I9" s="488" t="str">
        <f t="shared" si="2"/>
        <v/>
      </c>
      <c r="J9" s="332"/>
      <c r="K9" s="488"/>
      <c r="L9" s="489" t="str">
        <f>IF('Loan Entry'!$J9&gt;0,DATE(G9,INDEX(Inputs!$C$4:$D$15,MATCH(J9,Months,0),2),1),"")</f>
        <v/>
      </c>
      <c r="M9" s="490" t="str">
        <f t="shared" si="3"/>
        <v/>
      </c>
      <c r="N9" s="490" t="e">
        <f t="shared" si="4"/>
        <v>#N/A</v>
      </c>
      <c r="O9" s="578" t="e">
        <f>IF('Loan Entry'!$M9&gt;0,'Loan Entry'!$I9*'Loan Entry'!$Q9,"")</f>
        <v>#VALUE!</v>
      </c>
      <c r="P9" s="456"/>
      <c r="Q9" s="456">
        <f t="shared" si="5"/>
        <v>1</v>
      </c>
      <c r="R9" s="456" t="e">
        <f t="shared" si="6"/>
        <v>#VALUE!</v>
      </c>
      <c r="S9" s="456" t="e">
        <f>IF(M9&gt;0,INDEX(Inputs!$J$26:$K$37,MATCH('Loan Entry'!N9,Inputs!$J$26:$J$37,0),2)/12,0)</f>
        <v>#N/A</v>
      </c>
      <c r="T9" s="456">
        <f t="shared" si="7"/>
        <v>1</v>
      </c>
      <c r="U9" s="456">
        <f t="shared" si="8"/>
        <v>1</v>
      </c>
      <c r="V9" s="456" t="e">
        <f>IF('Loan Entry'!$M9&gt;0,IF(U9=1,X9/T9,(X9/T9)),"")</f>
        <v>#VALUE!</v>
      </c>
      <c r="W9" s="456">
        <f>IF('Loan Entry'!$M9&gt;0,IF(U9=1,Y9/T9,U9*(Y9/T9)),"")</f>
        <v>0</v>
      </c>
      <c r="X9" s="456" t="str">
        <f>IF(E9&gt;0,IF('Loan Entry'!$M9&lt;&gt;0,CUMPRINC(E9/Q9,O9,F9,1,T9,0)*-1,),'Loan Entry'!$AC9)</f>
        <v/>
      </c>
      <c r="Y9" s="456">
        <f>IF(J9&gt;0,IF(E9&gt;0,IF('Loan Entry'!$M9&lt;&gt;0,CUMIPMT((E9/Q9),(O9),AE9,1,T9,0)*-1,),0)*S9,0)</f>
        <v>0</v>
      </c>
      <c r="Z9" s="456">
        <f>IF(J9&gt;0,IF(E9&gt;0,IF('Loan Entry'!$M9&lt;&gt;0,CUMIPMT((E9/Q9),(O9),AE9,1,T9,0)*-1,),0)*S9,0)</f>
        <v>0</v>
      </c>
      <c r="AA9" s="456"/>
      <c r="AB9" s="456" t="e">
        <f>IF(M9&lt;&gt;0,IF(M9="annual",INDEX(Inputs!$C$4:$E$15,MATCH('Loan Entry'!J9,Months,0),3),IF(M9="semi-annual",IF(T9=2,CONCATENATE(INDEX(Inputs!$C$4:$E$15,MATCH('Loan Entry'!J9,Months,0),3),",",INDEX(Inputs!$C$4:$E$15,MATCH(MONTH(L9+190),Inputs!$D$4:$D$15,0),3)),INDEX(Inputs!$C$4:$E$15,MATCH('Loan Entry'!J9,Months,0),3)),IF(M9="Quarterly",IF(T9=4,CONCATENATE(INDEX(Inputs!$C$4:$E$15,MATCH('Loan Entry'!J9,Months,0),3),",",INDEX(Inputs!$C$4:$E$15,MATCH(MONTH(L9+95),Inputs!$D$4:$D$15,0),3),",",INDEX(Inputs!$C$4:$E$15,MATCH(MONTH(L9+190),Inputs!$D$4:$D$15,0),3),",",INDEX(Inputs!$C$4:$E$15,MATCH(MONTH(L9+275),Inputs!$D$4:$D$15,0),3)),IF(T9=3,CONCATENATE(INDEX(Inputs!$C$4:$E$15,MATCH('Loan Entry'!J9,Months,0),3),",",INDEX(Inputs!$C$4:$E$15,MATCH(MONTH(L9+95),Inputs!$D$4:$D$15,0),3),",",INDEX(Inputs!$C$4:$E$15,MATCH(MONTH(L9+190),Inputs!$D$4:$D$15,0),3)),IF(T9=2,CONCATENATE(INDEX(Inputs!$C$4:$E$15,MATCH('Loan Entry'!J9,Months,0),3),",",INDEX(Inputs!$C$4:$E$15,MATCH(MONTH(L9+95),Inputs!$D$4:$D$15,0),3)),INDEX(Inputs!$C$4:$E$15,MATCH('Loan Entry'!J9,Months,0),3)))),INDEX(Inputs!$C$4:$F$15,MATCH('Loan Entry'!J9,Months,0),4)))),0)</f>
        <v>#N/A</v>
      </c>
      <c r="AC9" s="922" t="str">
        <f t="shared" si="10"/>
        <v/>
      </c>
      <c r="AD9" s="922" t="str">
        <f t="shared" si="9"/>
        <v/>
      </c>
      <c r="AE9" s="282" t="str">
        <f>IF('Loan Entry'!$F9&lt;&gt;0,'Loan Entry'!$F9,"")</f>
        <v/>
      </c>
      <c r="AH9" s="667"/>
      <c r="AI9" s="667"/>
    </row>
    <row r="10" spans="1:35" ht="24.95" customHeight="1" x14ac:dyDescent="0.2">
      <c r="B10" s="325"/>
      <c r="C10" s="326"/>
      <c r="D10" s="326"/>
      <c r="E10" s="936"/>
      <c r="F10" s="327"/>
      <c r="G10" s="487">
        <f t="shared" si="0"/>
        <v>0</v>
      </c>
      <c r="H10" s="487" t="str">
        <f t="shared" si="1"/>
        <v/>
      </c>
      <c r="I10" s="487" t="str">
        <f t="shared" si="2"/>
        <v/>
      </c>
      <c r="J10" s="328"/>
      <c r="K10" s="487"/>
      <c r="L10" s="487" t="str">
        <f>IF('Loan Entry'!$J10&gt;0,DATE(G10,INDEX(Inputs!$C$4:$D$15,MATCH(J10,Months,0),2),1),"")</f>
        <v/>
      </c>
      <c r="M10" s="491" t="str">
        <f t="shared" si="3"/>
        <v/>
      </c>
      <c r="N10" s="488" t="e">
        <f t="shared" si="4"/>
        <v>#N/A</v>
      </c>
      <c r="O10" s="455" t="e">
        <f>IF('Loan Entry'!$M10&gt;0,'Loan Entry'!$I10*'Loan Entry'!$Q10,"")</f>
        <v>#VALUE!</v>
      </c>
      <c r="P10" s="455"/>
      <c r="Q10" s="455">
        <f t="shared" si="5"/>
        <v>1</v>
      </c>
      <c r="R10" s="455" t="e">
        <f t="shared" si="6"/>
        <v>#VALUE!</v>
      </c>
      <c r="S10" s="455" t="e">
        <f>IF(M10&gt;0,INDEX(Inputs!$J$26:$K$37,MATCH('Loan Entry'!N10,Inputs!$J$26:$J$37,0),2)/12,0)</f>
        <v>#N/A</v>
      </c>
      <c r="T10" s="455">
        <f t="shared" si="7"/>
        <v>1</v>
      </c>
      <c r="U10" s="455">
        <f t="shared" si="8"/>
        <v>1</v>
      </c>
      <c r="V10" s="455" t="e">
        <f>IF('Loan Entry'!$M10&gt;0,IF(U10=1,X10/T10,(X10/T10)),"")</f>
        <v>#VALUE!</v>
      </c>
      <c r="W10" s="455">
        <f>IF('Loan Entry'!$M10&gt;0,IF(U10=1,Y10/T10,U10*(Y10/T10)),"")</f>
        <v>0</v>
      </c>
      <c r="X10" s="455" t="str">
        <f>IF(E10&gt;0,IF('Loan Entry'!$M10&lt;&gt;0,CUMPRINC(E10/Q10,O10,F10,1,T10,0)*-1,),'Loan Entry'!$AC10)</f>
        <v/>
      </c>
      <c r="Y10" s="455">
        <f>IF(J10&gt;0,IF(E10&gt;0,IF('Loan Entry'!$M10&lt;&gt;0,CUMIPMT((E10/Q10),(O10),AE10,1,T10,0)*-1,),0)*S10,0)</f>
        <v>0</v>
      </c>
      <c r="Z10" s="455">
        <f>IF(J10&gt;0,IF(E10&gt;0,IF('Loan Entry'!$M10&lt;&gt;0,CUMIPMT((E10/Q10),(O10),AE10,1,T10,0)*-1,),0)*S10,0)</f>
        <v>0</v>
      </c>
      <c r="AA10" s="455"/>
      <c r="AB10" s="455" t="e">
        <f>IF(M10&lt;&gt;0,IF(M10="annual",INDEX(Inputs!$C$4:$E$15,MATCH('Loan Entry'!J10,Months,0),3),IF(M10="semi-annual",IF(T10=2,CONCATENATE(INDEX(Inputs!$C$4:$E$15,MATCH('Loan Entry'!J10,Months,0),3),",",INDEX(Inputs!$C$4:$E$15,MATCH(MONTH(L10+190),Inputs!$D$4:$D$15,0),3)),INDEX(Inputs!$C$4:$E$15,MATCH('Loan Entry'!J10,Months,0),3)),IF(M10="Quarterly",IF(T10=4,CONCATENATE(INDEX(Inputs!$C$4:$E$15,MATCH('Loan Entry'!J10,Months,0),3),",",INDEX(Inputs!$C$4:$E$15,MATCH(MONTH(L10+95),Inputs!$D$4:$D$15,0),3),",",INDEX(Inputs!$C$4:$E$15,MATCH(MONTH(L10+190),Inputs!$D$4:$D$15,0),3),",",INDEX(Inputs!$C$4:$E$15,MATCH(MONTH(L10+275),Inputs!$D$4:$D$15,0),3)),IF(T10=3,CONCATENATE(INDEX(Inputs!$C$4:$E$15,MATCH('Loan Entry'!J10,Months,0),3),",",INDEX(Inputs!$C$4:$E$15,MATCH(MONTH(L10+95),Inputs!$D$4:$D$15,0),3),",",INDEX(Inputs!$C$4:$E$15,MATCH(MONTH(L10+190),Inputs!$D$4:$D$15,0),3)),IF(T10=2,CONCATENATE(INDEX(Inputs!$C$4:$E$15,MATCH('Loan Entry'!J10,Months,0),3),",",INDEX(Inputs!$C$4:$E$15,MATCH(MONTH(L10+95),Inputs!$D$4:$D$15,0),3)),INDEX(Inputs!$C$4:$E$15,MATCH('Loan Entry'!J10,Months,0),3)))),INDEX(Inputs!$C$4:$F$15,MATCH('Loan Entry'!J10,Months,0),4)))),0)</f>
        <v>#N/A</v>
      </c>
      <c r="AC10" s="921" t="str">
        <f t="shared" si="10"/>
        <v/>
      </c>
      <c r="AD10" s="921" t="str">
        <f t="shared" si="9"/>
        <v/>
      </c>
      <c r="AE10" s="281" t="str">
        <f>IF('Loan Entry'!$F10&lt;&gt;0,'Loan Entry'!$F10,"")</f>
        <v/>
      </c>
      <c r="AH10" s="667"/>
      <c r="AI10" s="667"/>
    </row>
    <row r="11" spans="1:35" ht="24.95" customHeight="1" x14ac:dyDescent="0.2">
      <c r="B11" s="952" t="str">
        <f>CONCATENATE("Sub-Total ",B3)</f>
        <v>Sub-Total Operating Loans</v>
      </c>
      <c r="C11" s="952"/>
      <c r="D11" s="952"/>
      <c r="E11" s="952"/>
      <c r="F11" s="279">
        <f>SUM('Loan Entry'!$F$5:$F$10)</f>
        <v>0</v>
      </c>
      <c r="G11" s="94"/>
      <c r="H11" s="94"/>
      <c r="I11" s="94"/>
      <c r="J11" s="94"/>
      <c r="K11" s="94"/>
      <c r="L11" s="94"/>
      <c r="M11" s="94" t="s">
        <v>202</v>
      </c>
      <c r="N11" s="94"/>
      <c r="O11" s="94"/>
      <c r="P11" s="94"/>
      <c r="Q11" s="94"/>
      <c r="R11" s="94"/>
      <c r="S11" s="94"/>
      <c r="T11" s="94"/>
      <c r="U11" s="94"/>
      <c r="V11" s="94"/>
      <c r="W11" s="94"/>
      <c r="X11" s="94"/>
      <c r="Y11" s="94"/>
      <c r="Z11" s="94"/>
      <c r="AA11" s="94"/>
      <c r="AB11" s="94"/>
      <c r="AC11" s="932">
        <f>SUM(AC5:AC10)</f>
        <v>0</v>
      </c>
      <c r="AD11" s="94"/>
      <c r="AE11" s="94"/>
      <c r="AH11" s="667"/>
      <c r="AI11" s="667"/>
    </row>
    <row r="12" spans="1:35" ht="24.95" customHeight="1" x14ac:dyDescent="0.2">
      <c r="B12" s="96"/>
      <c r="C12" s="96"/>
      <c r="D12" s="448"/>
      <c r="E12" s="96"/>
      <c r="F12" s="95"/>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H12" s="667"/>
      <c r="AI12" s="667"/>
    </row>
    <row r="13" spans="1:35" s="94" customFormat="1" ht="24.95" customHeight="1" x14ac:dyDescent="0.2">
      <c r="A13" s="459"/>
      <c r="B13" s="954" t="s">
        <v>261</v>
      </c>
      <c r="C13" s="954"/>
      <c r="D13" s="954"/>
      <c r="E13" s="954"/>
      <c r="F13" s="954"/>
      <c r="G13" s="954"/>
      <c r="H13" s="954"/>
      <c r="I13" s="954"/>
      <c r="J13" s="954"/>
      <c r="K13" s="954"/>
      <c r="L13" s="954"/>
      <c r="M13" s="954"/>
      <c r="N13" s="954"/>
      <c r="O13" s="954"/>
      <c r="P13" s="954"/>
      <c r="Q13" s="954"/>
      <c r="R13" s="954"/>
      <c r="S13" s="954"/>
      <c r="T13" s="954"/>
      <c r="U13" s="954"/>
      <c r="V13" s="954"/>
      <c r="W13" s="954"/>
      <c r="X13" s="954"/>
      <c r="Y13" s="954"/>
      <c r="Z13" s="954"/>
      <c r="AA13" s="954"/>
      <c r="AB13" s="954"/>
      <c r="AC13" s="954"/>
      <c r="AD13" s="954"/>
      <c r="AE13" s="954"/>
      <c r="AF13" s="652"/>
      <c r="AG13" s="666"/>
      <c r="AH13" s="669"/>
      <c r="AI13" s="669"/>
    </row>
    <row r="14" spans="1:35" ht="24.95" customHeight="1" thickBot="1" x14ac:dyDescent="0.25">
      <c r="B14" s="482" t="s">
        <v>91</v>
      </c>
      <c r="C14" s="483" t="s">
        <v>92</v>
      </c>
      <c r="D14" s="479" t="s">
        <v>176</v>
      </c>
      <c r="E14" s="484" t="s">
        <v>93</v>
      </c>
      <c r="F14" s="480" t="s">
        <v>115</v>
      </c>
      <c r="G14" s="480" t="s">
        <v>97</v>
      </c>
      <c r="H14" s="480" t="s">
        <v>231</v>
      </c>
      <c r="I14" s="485" t="s">
        <v>104</v>
      </c>
      <c r="J14" s="485" t="s">
        <v>182</v>
      </c>
      <c r="K14" s="570" t="s">
        <v>233</v>
      </c>
      <c r="L14" s="570" t="s">
        <v>236</v>
      </c>
      <c r="M14" s="480" t="s">
        <v>98</v>
      </c>
      <c r="N14" s="571" t="s">
        <v>234</v>
      </c>
      <c r="O14" s="571" t="s">
        <v>235</v>
      </c>
      <c r="P14" s="571" t="s">
        <v>232</v>
      </c>
      <c r="Q14" s="571" t="s">
        <v>107</v>
      </c>
      <c r="R14" s="571" t="s">
        <v>185</v>
      </c>
      <c r="S14" s="571" t="s">
        <v>438</v>
      </c>
      <c r="T14" s="571" t="s">
        <v>199</v>
      </c>
      <c r="U14" s="571" t="s">
        <v>205</v>
      </c>
      <c r="V14" s="571" t="s">
        <v>183</v>
      </c>
      <c r="W14" s="571" t="s">
        <v>184</v>
      </c>
      <c r="X14" s="571" t="s">
        <v>197</v>
      </c>
      <c r="Y14" s="571" t="s">
        <v>198</v>
      </c>
      <c r="Z14" s="571" t="s">
        <v>435</v>
      </c>
      <c r="AA14" s="571" t="s">
        <v>436</v>
      </c>
      <c r="AB14" s="571" t="s">
        <v>106</v>
      </c>
      <c r="AC14" s="485" t="s">
        <v>94</v>
      </c>
      <c r="AD14" s="485" t="s">
        <v>95</v>
      </c>
      <c r="AE14" s="485" t="s">
        <v>96</v>
      </c>
      <c r="AH14" s="667"/>
      <c r="AI14" s="667"/>
    </row>
    <row r="15" spans="1:35" ht="24.95" customHeight="1" thickTop="1" x14ac:dyDescent="0.2">
      <c r="A15" s="460" t="str">
        <f>IF('Loan Entry'!$M15&gt;0,DATE((G15+1),1,1),"")</f>
        <v/>
      </c>
      <c r="B15" s="333"/>
      <c r="C15" s="334"/>
      <c r="D15" s="334"/>
      <c r="E15" s="938"/>
      <c r="F15" s="335"/>
      <c r="G15" s="336"/>
      <c r="H15" s="449" t="str">
        <f>IF(I15&gt;0,ROUNDDOWN(Year+I15,0),"")</f>
        <v/>
      </c>
      <c r="I15" s="336"/>
      <c r="J15" s="336"/>
      <c r="K15" s="449" t="e">
        <f>IF(H15&gt;0,IF(H15-Year=0,"yes","no"),"")</f>
        <v>#VALUE!</v>
      </c>
      <c r="L15" s="452" t="str">
        <f>IF('Loan Entry'!$J15&gt;0,DATE(G15,INDEX(Inputs!$C$4:$D$15,MATCH(J15,Months,0),2),1),"")</f>
        <v/>
      </c>
      <c r="M15" s="336"/>
      <c r="N15" s="449" t="str">
        <f>IF(M15&lt;&gt;0,IF(AND(K15="yes",M15="Monthly")=TRUE,CHOOSE(R15,"January","February","March","April","May","June","July","August","September","October","November","December"),RIGHT(AB15,3)),"")</f>
        <v/>
      </c>
      <c r="O15" s="449" t="str">
        <f>IF('Loan Entry'!$M15&gt;0,'Loan Entry'!$I15*'Loan Entry'!$Q15,"")</f>
        <v/>
      </c>
      <c r="P15" s="449" t="str">
        <f>IF(M15&gt;0,(H15-(G15-1))*IF(M15="Monthly",12,IF(M15="Quarterly",4,IF(M15="Semi-Annual",2,1))),"")</f>
        <v/>
      </c>
      <c r="Q15" s="449" t="str">
        <f>IF(M15&gt;0,IF(M15="Monthly",12,IF(M15="Quarterly",4,IF(M15="Semi-Annual",2,1))),"")</f>
        <v/>
      </c>
      <c r="R15" s="575" t="str">
        <f>IF(M15&gt;0,IF(I15&lt;1,IF(M15="Annual",1,(YEARFRAC(L15,A15,))*IF(M15="Monthly",O15,IF(M15="quarterly",O15*3,IF(M15="semi-annual",O15*2,12)))),IF(M15="Annual",1,(YEARFRAC(L15,A15,))*12)),"")</f>
        <v/>
      </c>
      <c r="S15" s="575">
        <f>IF(M15&gt;0,INDEX(Inputs!$J$26:$K$37,MATCH('Loan Entry'!N15,Inputs!$J$26:$J$37,0),2)/12,0)</f>
        <v>0</v>
      </c>
      <c r="T15" s="575" t="str">
        <f>IF(M15&lt;&gt;0,IF(R15&gt;12,12,ROUNDUP(IF(M15="Monthly",12*(R15/Q15),IF(M15="Quarterly",((R15/12)*Q15),IF(M15="Semi-Annual",IF(((R15/12)*Q15)&gt;1,2,1),1))),0)),"")</f>
        <v/>
      </c>
      <c r="U15" s="580" t="str">
        <f>IF(M15&gt;0,T15/Q15,"")</f>
        <v/>
      </c>
      <c r="V15" s="576" t="str">
        <f>IF('Loan Entry'!$M15&gt;0,IF(U15=1,X15/T15,(X15/T15)),"")</f>
        <v/>
      </c>
      <c r="W15" s="576" t="str">
        <f>IF('Loan Entry'!$M15&gt;0,IF(U15=1,Y15/T15,U15*(Y15/T15)),"")</f>
        <v/>
      </c>
      <c r="X15" s="576" t="str">
        <f>IF(E15&gt;0,IF('Loan Entry'!$M15&lt;&gt;0,CUMPRINC((365/360)*E15/Q15,O15,F15,1,T15,0)*-1,),'Loan Entry'!$AC15)</f>
        <v/>
      </c>
      <c r="Y15" s="576">
        <f>IF(E15&gt;0,IF('Loan Entry'!$M15&lt;&gt;0,CUMIPMT(((365/360)*E15)/Q15,O15,F15,1,T15,0)*-1,),0)</f>
        <v>0</v>
      </c>
      <c r="Z15" s="576">
        <f>IF(ISERROR(S15*IF(E15&gt;0,IF('Loan Entry'!$M15&lt;&gt;0,CUMIPMT(((365/360)*E15)/Q15,O15,F15,1,T15,0)*-1,),0))=FALSE,S15*IF(E15&gt;0,IF('Loan Entry'!$M15&lt;&gt;0,CUMIPMT(((365/360)*E15)/Q15,O15,F15,1,T15,0)*-1,),0),0)</f>
        <v>0</v>
      </c>
      <c r="AA15" s="576">
        <f>IF(ISERROR(S15*IF(E15&gt;0,IF('Loan Entry'!$M15&lt;&gt;0,CUMIPMT(((365/360)*E15)/Q15,O15-T15,F15,1+T15,T15+T15,0)*-1,),0))=FALSE,S15*IF(E15&gt;0,IF('Loan Entry'!$M15&lt;&gt;0,CUMIPMT(((365/360)*E15)/Q15,O15-T15,F15,1+T15,T15+T15,0)*-1,),0),0)</f>
        <v>0</v>
      </c>
      <c r="AB15" s="576" t="str">
        <f>IF(M15&lt;&gt;0,IF(K15="no",IF(M15="annual",INDEX(Inputs!$C$4:$E$15,MATCH('Loan Entry'!J15,Months,0),3),IF(M15="semi-annual",IF(T15=2,CONCATENATE(INDEX(Inputs!$C$4:$E$15,MATCH('Loan Entry'!J15,Months,0),3),",",INDEX(Inputs!$C$4:$E$15,MATCH(MONTH(L15+190),Inputs!$D$4:$D$15,0),3)),INDEX(Inputs!$C$4:$E$15,MATCH('Loan Entry'!J15,Months,0),3)),IF(M15="Quarterly",IF(T15=4,CONCATENATE(INDEX(Inputs!$C$4:$E$15,MATCH('Loan Entry'!J15,Months,0),3),",",INDEX(Inputs!$C$4:$E$15,MATCH(MONTH(L15+95),Inputs!$D$4:$D$15,0),3),",",INDEX(Inputs!$C$4:$E$15,MATCH(MONTH(L15+190),Inputs!$D$4:$D$15,0),3),",",INDEX(Inputs!$C$4:$E$15,MATCH(MONTH(L15+275),Inputs!$D$4:$D$15,0),3)),IF(T15=3,CONCATENATE(INDEX(Inputs!$C$4:$E$15,MATCH('Loan Entry'!J15,Months,0),3),",",INDEX(Inputs!$C$4:$E$15,MATCH(MONTH(L15+95),Inputs!$D$4:$D$15,0),3),",",INDEX(Inputs!$C$4:$E$15,MATCH(MONTH(L15+190),Inputs!$D$4:$D$15,0),3)),IF(T15=2,CONCATENATE(INDEX(Inputs!$C$4:$E$15,MATCH('Loan Entry'!J15,Months,0),3),",",INDEX(Inputs!$C$4:$E$15,MATCH(MONTH(L15+95),Inputs!$D$4:$D$15,0),3)),INDEX(Inputs!$C$4:$E$15,MATCH('Loan Entry'!J15,Months,0),3)))),INDEX(Inputs!$C$4:$F$15,MATCH('Loan Entry'!J15,Months,0),4)))),IF(M15="annual",INDEX(Inputs!$C$4:$E$15,MATCH('Loan Entry'!J15,Months,0),3),IF(M15="semi-annual",IF(T15=2,CONCATENATE(INDEX(Inputs!$C$4:$E$15,MATCH('Loan Entry'!J15,Months,0),3),",",INDEX(Inputs!$C$4:$E$15,MATCH(MONTH(L15+190),Inputs!$D$4:$D$15,0),3)),INDEX(Inputs!$C$4:$E$15,MATCH('Loan Entry'!J15,Months,0),3)),IF(M15="Quarterly",IF(T15=4,CONCATENATE(INDEX(Inputs!$C$4:$E$15,MATCH('Loan Entry'!J15,Months,0),3),",",INDEX(Inputs!$C$4:$E$15,MATCH(MONTH(L15+95),Inputs!$D$4:$D$15,0),3),",",INDEX(Inputs!$C$4:$E$15,MATCH(MONTH(L15+190),Inputs!$D$4:$D$15,0),3),",",INDEX(Inputs!$C$4:$E$15,MATCH(MONTH(L15+275),Inputs!$D$4:$D$15,0),3)),IF(T15=3,CONCATENATE(INDEX(Inputs!$C$4:$E$15,MATCH('Loan Entry'!J15,Months,0),3),",",INDEX(Inputs!$C$4:$E$15,MATCH(MONTH(L15+95),Inputs!$D$4:$D$15,0),3),",",INDEX(Inputs!$C$4:$E$15,MATCH(MONTH(L15+190),Inputs!$D$4:$D$15,0),3)),IF(T15=2,CONCATENATE(INDEX(Inputs!$C$4:$E$15,MATCH('Loan Entry'!J15,Months,0),3),",",INDEX(Inputs!$C$4:$E$15,MATCH(MONTH(L15+95),Inputs!$D$4:$D$15,0),3)),INDEX(Inputs!$C$4:$G$15,MATCH('Loan Entry'!J15,Months,0),3)))),INDEX(Inputs!$C$4:$G$15,MATCH('Loan Entry'!N15,Months,0),5))))),"")</f>
        <v/>
      </c>
      <c r="AC15" s="923" t="str">
        <f>IF('Loan Entry'!$M15&gt;0,PMT((365/360)*'Loan Entry'!$E15/'Loan Entry'!$Q15,'Loan Entry'!$O15,'Loan Entry'!$F15*-1)*MIN('Loan Entry'!$Q15,O15),"")</f>
        <v/>
      </c>
      <c r="AD15" s="924" t="str">
        <f>IF(F15&gt;0,IF('Loan Entry'!$M15&lt;&gt;0,IF(U15=1,X15,IF(E15=0,U15*X15,X15)),'Loan Entry'!$AC15),"")</f>
        <v/>
      </c>
      <c r="AE15" s="929" t="str">
        <f>IF('Loan Entry'!$M15&gt;0,'Loan Entry'!$F15-'Loan Entry'!$AD15,"")</f>
        <v/>
      </c>
      <c r="AF15" s="651" t="str">
        <f>IF(AE15&gt;0,AC15,0)</f>
        <v/>
      </c>
      <c r="AG15" s="673"/>
      <c r="AH15" s="667" t="str">
        <f>IF(AE15&lt;&gt;0,IF(AE15&lt;AD15,AE15,IF(E15&gt;0,IF('Loan Entry'!$M15&lt;&gt;0,CUMPRINC(E15/Q15,(O15-T15),AE15,1,T15,0)*-1,),'Loan Entry'!$AC15)),0)</f>
        <v/>
      </c>
      <c r="AI15" s="667">
        <f>IF(M15&gt;0,AE15-AH15,0)</f>
        <v>0</v>
      </c>
    </row>
    <row r="16" spans="1:35" ht="24.95" customHeight="1" x14ac:dyDescent="0.2">
      <c r="A16" s="460" t="str">
        <f>IF('Loan Entry'!$M16&gt;0,DATE((G16+1),1,1),"")</f>
        <v/>
      </c>
      <c r="B16" s="337"/>
      <c r="C16" s="338"/>
      <c r="D16" s="338"/>
      <c r="E16" s="939"/>
      <c r="F16" s="339"/>
      <c r="G16" s="340"/>
      <c r="H16" s="450" t="str">
        <f>IF(I16&gt;0,ROUNDDOWN(Year+I16,0),"")</f>
        <v/>
      </c>
      <c r="I16" s="340"/>
      <c r="J16" s="340"/>
      <c r="K16" s="450" t="e">
        <f>IF(H16&gt;0,IF(H16-Year=0,"yes","no"),"")</f>
        <v>#VALUE!</v>
      </c>
      <c r="L16" s="453" t="str">
        <f>IF('Loan Entry'!$J16&gt;0,DATE(G16,INDEX(Inputs!$C$4:$D$15,MATCH(J16,Months,0),2),1),"")</f>
        <v/>
      </c>
      <c r="M16" s="340"/>
      <c r="N16" s="450" t="str">
        <f>IF(M16&lt;&gt;0,IF(AND(K16="yes",M16="Monthly")=TRUE,CHOOSE(R16,"January","February","March","April","May","June","July","August","September","October","November","December"),RIGHT(AB16,3)),"")</f>
        <v/>
      </c>
      <c r="O16" s="581" t="str">
        <f>IF('Loan Entry'!$M16&gt;0,'Loan Entry'!$I16*'Loan Entry'!$Q16,"")</f>
        <v/>
      </c>
      <c r="P16" s="581" t="str">
        <f>IF(M16&gt;0,(H16-(G16-1))*IF(M16="Monthly",12,IF(M16="Quarterly",4,IF(M16="Semi-Annual",2,1))),"")</f>
        <v/>
      </c>
      <c r="Q16" s="581" t="str">
        <f>IF(M16&gt;0,IF(M16="Monthly",12,IF(M16="Quarterly",4,IF(M16="Semi-Annual",2,1))),"")</f>
        <v/>
      </c>
      <c r="R16" s="581" t="str">
        <f>IF(M16&gt;0,IF(I16&lt;1,IF(M16="Annual",1,(YEARFRAC(L16,A16,))*IF(M16="Monthly",O16,IF(M16="quarterly",O16*3,IF(M16="semi-annual",O16*2,12)))),IF(M16="Annual",1,(YEARFRAC(L16,A16,))*12)),"")</f>
        <v/>
      </c>
      <c r="S16" s="581">
        <f>IF(M16&gt;0,INDEX(Inputs!$J$26:$K$37,MATCH('Loan Entry'!N16,Inputs!$J$26:$J$37,0),2)/12,0)</f>
        <v>0</v>
      </c>
      <c r="T16" s="581" t="str">
        <f>IF(M16&lt;&gt;0,IF(R16&gt;12,12,ROUNDUP(IF(M16="Monthly",12*(R16/Q16),IF(M16="Quarterly",((R16/12)*Q16),IF(M16="Semi-Annual",IF(((R16/12)*Q16)&gt;1,2,1),1))),0)),"")</f>
        <v/>
      </c>
      <c r="U16" s="581" t="str">
        <f>IF(M16&gt;0,T16/Q16,"")</f>
        <v/>
      </c>
      <c r="V16" s="582" t="str">
        <f>IF('Loan Entry'!$M16&gt;0,IF(U16=1,X16/T16,(X16/T16)),"")</f>
        <v/>
      </c>
      <c r="W16" s="582" t="str">
        <f>IF('Loan Entry'!$M16&gt;0,IF(U16=1,Y16/T16,U16*(Y16/T16)),"")</f>
        <v/>
      </c>
      <c r="X16" s="582" t="str">
        <f>IF(E16&gt;0,IF('Loan Entry'!$M16&lt;&gt;0,CUMPRINC((365/360)*E16/Q16,O16,F16,1,T16,0)*-1,),'Loan Entry'!$AC16)</f>
        <v/>
      </c>
      <c r="Y16" s="582">
        <f>IF(E16&gt;0,IF('Loan Entry'!$M16&lt;&gt;0,CUMIPMT(((365/360)*E16)/Q16,O16,F16,1,T16,0)*-1,),0)</f>
        <v>0</v>
      </c>
      <c r="Z16" s="582">
        <f>IF(ISERROR(S16*IF(E16&gt;0,IF('Loan Entry'!$M16&lt;&gt;0,CUMIPMT(((365/360)*E16)/Q16,O16,F16,1,T16,0)*-1,),0))=FALSE,S16*IF(E16&gt;0,IF('Loan Entry'!$M16&lt;&gt;0,CUMIPMT(((365/360)*E16)/Q16,O16,F16,1,T16,0)*-1,),0),0)</f>
        <v>0</v>
      </c>
      <c r="AA16" s="582">
        <f>IF(ISERROR(S16*IF(E16&gt;0,IF('Loan Entry'!$M16&lt;&gt;0,CUMIPMT(((365/360)*E16)/Q16,O16-T16,F16,1+T16,T16+T16,0)*-1,),0))=FALSE,S16*IF(E16&gt;0,IF('Loan Entry'!$M16&lt;&gt;0,CUMIPMT(((365/360)*E16)/Q16,O16-T16,F16,1+T16,T16+T16,0)*-1,),0),0)</f>
        <v>0</v>
      </c>
      <c r="AB16" s="582" t="str">
        <f>IF(M16&lt;&gt;0,IF(K16="no",IF(M16="annual",INDEX(Inputs!$C$4:$E$15,MATCH('Loan Entry'!J16,Months,0),3),IF(M16="semi-annual",IF(T16=2,CONCATENATE(INDEX(Inputs!$C$4:$E$15,MATCH('Loan Entry'!J16,Months,0),3),",",INDEX(Inputs!$C$4:$E$15,MATCH(MONTH(L16+190),Inputs!$D$4:$D$15,0),3)),INDEX(Inputs!$C$4:$E$15,MATCH('Loan Entry'!J16,Months,0),3)),IF(M16="Quarterly",IF(T16=4,CONCATENATE(INDEX(Inputs!$C$4:$E$15,MATCH('Loan Entry'!J16,Months,0),3),",",INDEX(Inputs!$C$4:$E$15,MATCH(MONTH(L16+95),Inputs!$D$4:$D$15,0),3),",",INDEX(Inputs!$C$4:$E$15,MATCH(MONTH(L16+190),Inputs!$D$4:$D$15,0),3),",",INDEX(Inputs!$C$4:$E$15,MATCH(MONTH(L16+275),Inputs!$D$4:$D$15,0),3)),IF(T16=3,CONCATENATE(INDEX(Inputs!$C$4:$E$15,MATCH('Loan Entry'!J16,Months,0),3),",",INDEX(Inputs!$C$4:$E$15,MATCH(MONTH(L16+95),Inputs!$D$4:$D$15,0),3),",",INDEX(Inputs!$C$4:$E$15,MATCH(MONTH(L16+190),Inputs!$D$4:$D$15,0),3)),IF(T16=2,CONCATENATE(INDEX(Inputs!$C$4:$E$15,MATCH('Loan Entry'!J16,Months,0),3),",",INDEX(Inputs!$C$4:$E$15,MATCH(MONTH(L16+95),Inputs!$D$4:$D$15,0),3)),INDEX(Inputs!$C$4:$E$15,MATCH('Loan Entry'!J16,Months,0),3)))),INDEX(Inputs!$C$4:$F$15,MATCH('Loan Entry'!J16,Months,0),4)))),IF(M16="annual",INDEX(Inputs!$C$4:$E$15,MATCH('Loan Entry'!J16,Months,0),3),IF(M16="semi-annual",IF(T16=2,CONCATENATE(INDEX(Inputs!$C$4:$E$15,MATCH('Loan Entry'!J16,Months,0),3),",",INDEX(Inputs!$C$4:$E$15,MATCH(MONTH(L16+190),Inputs!$D$4:$D$15,0),3)),INDEX(Inputs!$C$4:$E$15,MATCH('Loan Entry'!J16,Months,0),3)),IF(M16="Quarterly",IF(T16=4,CONCATENATE(INDEX(Inputs!$C$4:$E$15,MATCH('Loan Entry'!J16,Months,0),3),",",INDEX(Inputs!$C$4:$E$15,MATCH(MONTH(L16+95),Inputs!$D$4:$D$15,0),3),",",INDEX(Inputs!$C$4:$E$15,MATCH(MONTH(L16+190),Inputs!$D$4:$D$15,0),3),",",INDEX(Inputs!$C$4:$E$15,MATCH(MONTH(L16+275),Inputs!$D$4:$D$15,0),3)),IF(T16=3,CONCATENATE(INDEX(Inputs!$C$4:$E$15,MATCH('Loan Entry'!J16,Months,0),3),",",INDEX(Inputs!$C$4:$E$15,MATCH(MONTH(L16+95),Inputs!$D$4:$D$15,0),3),",",INDEX(Inputs!$C$4:$E$15,MATCH(MONTH(L16+190),Inputs!$D$4:$D$15,0),3)),IF(T16=2,CONCATENATE(INDEX(Inputs!$C$4:$E$15,MATCH('Loan Entry'!J16,Months,0),3),",",INDEX(Inputs!$C$4:$E$15,MATCH(MONTH(L16+95),Inputs!$D$4:$D$15,0),3)),INDEX(Inputs!$C$4:$G$15,MATCH('Loan Entry'!J16,Months,0),3)))),INDEX(Inputs!$C$4:$G$15,MATCH('Loan Entry'!N16,Months,0),5))))),"")</f>
        <v/>
      </c>
      <c r="AC16" s="925" t="str">
        <f>IF('Loan Entry'!$M16&gt;0,PMT((365/360)*'Loan Entry'!$E16/'Loan Entry'!$Q16,'Loan Entry'!$O16,'Loan Entry'!$F16*-1)*MIN('Loan Entry'!$Q16,O16),"")</f>
        <v/>
      </c>
      <c r="AD16" s="926" t="str">
        <f>IF(F16&gt;0,IF('Loan Entry'!$M16&lt;&gt;0,IF(U16=1,X16,IF(E16=0,U16*X16,X16)),'Loan Entry'!$AC16),"")</f>
        <v/>
      </c>
      <c r="AE16" s="930" t="str">
        <f>IF('Loan Entry'!$M16&gt;0,'Loan Entry'!$F16-'Loan Entry'!$AD16,"")</f>
        <v/>
      </c>
      <c r="AF16" s="651" t="str">
        <f>IF(AE16&gt;0,AC16,0)</f>
        <v/>
      </c>
      <c r="AG16" s="673"/>
      <c r="AH16" s="667" t="str">
        <f>IF(AE16&lt;&gt;0,IF(AE16&lt;AD16,AE16,IF(E16&gt;0,IF('Loan Entry'!$M16&lt;&gt;0,CUMPRINC(E16/Q16,(O16-T16),AE16,1,T16,0)*-1,),'Loan Entry'!$AC16)),0)</f>
        <v/>
      </c>
      <c r="AI16" s="667">
        <f>IF(M16&gt;0,AE16-AH16,0)</f>
        <v>0</v>
      </c>
    </row>
    <row r="17" spans="1:35" ht="24.95" customHeight="1" x14ac:dyDescent="0.2">
      <c r="A17" s="460" t="str">
        <f>IF('Loan Entry'!$M17&gt;0,DATE((G17+1),1,1),"")</f>
        <v/>
      </c>
      <c r="B17" s="341"/>
      <c r="C17" s="342"/>
      <c r="D17" s="342"/>
      <c r="E17" s="940"/>
      <c r="F17" s="343"/>
      <c r="G17" s="344"/>
      <c r="H17" s="451" t="str">
        <f>IF(I17&gt;0,ROUNDDOWN(Year+I17,0),"")</f>
        <v/>
      </c>
      <c r="I17" s="344"/>
      <c r="J17" s="344"/>
      <c r="K17" s="451" t="e">
        <f>IF(H17&gt;0,IF(H17-Year=0,"yes","no"),"")</f>
        <v>#VALUE!</v>
      </c>
      <c r="L17" s="454" t="str">
        <f>IF('Loan Entry'!$J17&gt;0,DATE(G17,INDEX(Inputs!$C$4:$D$15,MATCH(J17,Months,0),2),1),"")</f>
        <v/>
      </c>
      <c r="M17" s="344"/>
      <c r="N17" s="451" t="str">
        <f>IF(M17&lt;&gt;0,IF(AND(K17="yes",M17="Monthly")=TRUE,CHOOSE(R17,"January","February","March","April","May","June","July","August","September","October","November","December"),RIGHT(AB17,3)),"")</f>
        <v/>
      </c>
      <c r="O17" s="583" t="str">
        <f>IF('Loan Entry'!$M17&gt;0,'Loan Entry'!$I17*'Loan Entry'!$Q17,"")</f>
        <v/>
      </c>
      <c r="P17" s="583" t="str">
        <f>IF(M17&gt;0,(H17-(G17-1))*IF(M17="Monthly",12,IF(M17="Quarterly",4,IF(M17="Semi-Annual",2,1))),"")</f>
        <v/>
      </c>
      <c r="Q17" s="583" t="str">
        <f>IF(M17&gt;0,IF(M17="Monthly",12,IF(M17="Quarterly",4,IF(M17="Semi-Annual",2,1))),"")</f>
        <v/>
      </c>
      <c r="R17" s="583" t="str">
        <f>IF(M17&gt;0,IF(I17&lt;1,IF(M17="Annual",1,(YEARFRAC(L17,A17,))*IF(M17="Monthly",O17,IF(M17="quarterly",O17*3,IF(M17="semi-annual",O17*2,12)))),IF(M17="Annual",1,(YEARFRAC(L17,A17,))*12)),"")</f>
        <v/>
      </c>
      <c r="S17" s="583">
        <f>IF(M17&gt;0,INDEX(Inputs!$J$26:$K$37,MATCH('Loan Entry'!N17,Inputs!$J$26:$J$37,0),2)/12,0)</f>
        <v>0</v>
      </c>
      <c r="T17" s="583" t="str">
        <f>IF(M17&lt;&gt;0,IF(R17&gt;12,12,ROUNDUP(IF(M17="Monthly",12*(R17/Q17),IF(M17="Quarterly",((R17/12)*Q17),IF(M17="Semi-Annual",IF(((R17/12)*Q17)&gt;1,2,1),1))),0)),"")</f>
        <v/>
      </c>
      <c r="U17" s="583" t="str">
        <f>IF(M17&gt;0,T17/Q17,"")</f>
        <v/>
      </c>
      <c r="V17" s="584" t="str">
        <f>IF('Loan Entry'!$M17&gt;0,IF(U17=1,X17/T17,(X17/T17)),"")</f>
        <v/>
      </c>
      <c r="W17" s="584" t="str">
        <f>IF('Loan Entry'!$M17&gt;0,IF(U17=1,Y17/T17,U17*(Y17/T17)),"")</f>
        <v/>
      </c>
      <c r="X17" s="584" t="str">
        <f>IF(E17&gt;0,IF('Loan Entry'!$M17&lt;&gt;0,CUMPRINC((365/360)*E17/Q17,O17,F17,1,T17,0)*-1,),'Loan Entry'!$AC17)</f>
        <v/>
      </c>
      <c r="Y17" s="584">
        <f>IF(E17&gt;0,IF('Loan Entry'!$M17&lt;&gt;0,CUMIPMT(((365/360)*E17)/Q17,O17,F17,1,T17,0)*-1,),0)</f>
        <v>0</v>
      </c>
      <c r="Z17" s="584">
        <f>IF(ISERROR(S17*IF(E17&gt;0,IF('Loan Entry'!$M17&lt;&gt;0,CUMIPMT(((365/360)*E17)/Q17,O17,F17,1,T17,0)*-1,),0))=FALSE,S17*IF(E17&gt;0,IF('Loan Entry'!$M17&lt;&gt;0,CUMIPMT(((365/360)*E17)/Q17,O17,F17,1,T17,0)*-1,),0),0)</f>
        <v>0</v>
      </c>
      <c r="AA17" s="584">
        <f>IF(ISERROR(S17*IF(E17&gt;0,IF('Loan Entry'!$M17&lt;&gt;0,CUMIPMT(((365/360)*E17)/Q17,O17-T17,F17,1+T17,T17+T17,0)*-1,),0))=FALSE,S17*IF(E17&gt;0,IF('Loan Entry'!$M17&lt;&gt;0,CUMIPMT(((365/360)*E17)/Q17,O17-T17,F17,1+T17,T17+T17,0)*-1,),0),0)</f>
        <v>0</v>
      </c>
      <c r="AB17" s="584" t="str">
        <f>IF(M17&lt;&gt;0,IF(K17="no",IF(M17="annual",INDEX(Inputs!$C$4:$E$15,MATCH('Loan Entry'!J17,Months,0),3),IF(M17="semi-annual",IF(T17=2,CONCATENATE(INDEX(Inputs!$C$4:$E$15,MATCH('Loan Entry'!J17,Months,0),3),",",INDEX(Inputs!$C$4:$E$15,MATCH(MONTH(L17+190),Inputs!$D$4:$D$15,0),3)),INDEX(Inputs!$C$4:$E$15,MATCH('Loan Entry'!J17,Months,0),3)),IF(M17="Quarterly",IF(T17=4,CONCATENATE(INDEX(Inputs!$C$4:$E$15,MATCH('Loan Entry'!J17,Months,0),3),",",INDEX(Inputs!$C$4:$E$15,MATCH(MONTH(L17+95),Inputs!$D$4:$D$15,0),3),",",INDEX(Inputs!$C$4:$E$15,MATCH(MONTH(L17+190),Inputs!$D$4:$D$15,0),3),",",INDEX(Inputs!$C$4:$E$15,MATCH(MONTH(L17+275),Inputs!$D$4:$D$15,0),3)),IF(T17=3,CONCATENATE(INDEX(Inputs!$C$4:$E$15,MATCH('Loan Entry'!J17,Months,0),3),",",INDEX(Inputs!$C$4:$E$15,MATCH(MONTH(L17+95),Inputs!$D$4:$D$15,0),3),",",INDEX(Inputs!$C$4:$E$15,MATCH(MONTH(L17+190),Inputs!$D$4:$D$15,0),3)),IF(T17=2,CONCATENATE(INDEX(Inputs!$C$4:$E$15,MATCH('Loan Entry'!J17,Months,0),3),",",INDEX(Inputs!$C$4:$E$15,MATCH(MONTH(L17+95),Inputs!$D$4:$D$15,0),3)),INDEX(Inputs!$C$4:$E$15,MATCH('Loan Entry'!J17,Months,0),3)))),INDEX(Inputs!$C$4:$F$15,MATCH('Loan Entry'!J17,Months,0),4)))),IF(M17="annual",INDEX(Inputs!$C$4:$E$15,MATCH('Loan Entry'!J17,Months,0),3),IF(M17="semi-annual",IF(T17=2,CONCATENATE(INDEX(Inputs!$C$4:$E$15,MATCH('Loan Entry'!J17,Months,0),3),",",INDEX(Inputs!$C$4:$E$15,MATCH(MONTH(L17+190),Inputs!$D$4:$D$15,0),3)),INDEX(Inputs!$C$4:$E$15,MATCH('Loan Entry'!J17,Months,0),3)),IF(M17="Quarterly",IF(T17=4,CONCATENATE(INDEX(Inputs!$C$4:$E$15,MATCH('Loan Entry'!J17,Months,0),3),",",INDEX(Inputs!$C$4:$E$15,MATCH(MONTH(L17+95),Inputs!$D$4:$D$15,0),3),",",INDEX(Inputs!$C$4:$E$15,MATCH(MONTH(L17+190),Inputs!$D$4:$D$15,0),3),",",INDEX(Inputs!$C$4:$E$15,MATCH(MONTH(L17+275),Inputs!$D$4:$D$15,0),3)),IF(T17=3,CONCATENATE(INDEX(Inputs!$C$4:$E$15,MATCH('Loan Entry'!J17,Months,0),3),",",INDEX(Inputs!$C$4:$E$15,MATCH(MONTH(L17+95),Inputs!$D$4:$D$15,0),3),",",INDEX(Inputs!$C$4:$E$15,MATCH(MONTH(L17+190),Inputs!$D$4:$D$15,0),3)),IF(T17=2,CONCATENATE(INDEX(Inputs!$C$4:$E$15,MATCH('Loan Entry'!J17,Months,0),3),",",INDEX(Inputs!$C$4:$E$15,MATCH(MONTH(L17+95),Inputs!$D$4:$D$15,0),3)),INDEX(Inputs!$C$4:$G$15,MATCH('Loan Entry'!J17,Months,0),3)))),INDEX(Inputs!$C$4:$G$15,MATCH('Loan Entry'!N17,Months,0),5))))),"")</f>
        <v/>
      </c>
      <c r="AC17" s="927" t="str">
        <f>IF('Loan Entry'!$M17&gt;0,PMT((365/360)*'Loan Entry'!$E17/'Loan Entry'!$Q17,'Loan Entry'!$O17,'Loan Entry'!$F17*-1)*MIN('Loan Entry'!$Q17,O17),"")</f>
        <v/>
      </c>
      <c r="AD17" s="928" t="str">
        <f>IF(F17&gt;0,IF('Loan Entry'!$M17&lt;&gt;0,IF(U17=1,X17,IF(E17=0,U17*X17,X17)),'Loan Entry'!$AC17),"")</f>
        <v/>
      </c>
      <c r="AE17" s="931" t="str">
        <f>IF('Loan Entry'!$M17&gt;0,'Loan Entry'!$F17-'Loan Entry'!$AD17,"")</f>
        <v/>
      </c>
      <c r="AF17" s="651" t="str">
        <f>IF(AE17&gt;0,AC17,0)</f>
        <v/>
      </c>
      <c r="AG17" s="673"/>
      <c r="AH17" s="667" t="str">
        <f>IF(AE17&lt;&gt;0,IF(AE17&lt;AD17,AE17,IF(E17&gt;0,IF('Loan Entry'!$M17&lt;&gt;0,CUMPRINC(E17/Q17,(O17-T17),AE17,1,T17,0)*-1,),'Loan Entry'!$AC17)),0)</f>
        <v/>
      </c>
      <c r="AI17" s="667">
        <f>IF(M17&gt;0,AE17-AH17,0)</f>
        <v>0</v>
      </c>
    </row>
    <row r="18" spans="1:35" ht="24.95" customHeight="1" x14ac:dyDescent="0.2">
      <c r="A18" s="460" t="str">
        <f>IF('Loan Entry'!$M18&gt;0,DATE((G18+1),1,1),"")</f>
        <v/>
      </c>
      <c r="B18" s="337"/>
      <c r="C18" s="338"/>
      <c r="D18" s="338"/>
      <c r="E18" s="939"/>
      <c r="F18" s="339"/>
      <c r="G18" s="340"/>
      <c r="H18" s="450" t="str">
        <f>IF(I18&gt;0,ROUNDDOWN(Year+I18,0),"")</f>
        <v/>
      </c>
      <c r="I18" s="340"/>
      <c r="J18" s="340"/>
      <c r="K18" s="450" t="e">
        <f>IF(H18&gt;0,IF(H18-Year=0,"yes","no"),"")</f>
        <v>#VALUE!</v>
      </c>
      <c r="L18" s="453" t="str">
        <f>IF('Loan Entry'!$J18&gt;0,DATE(G18,INDEX(Inputs!$C$4:$D$15,MATCH(J18,Months,0),2),1),"")</f>
        <v/>
      </c>
      <c r="M18" s="340"/>
      <c r="N18" s="450" t="str">
        <f>IF(M18&lt;&gt;0,IF(AND(K18="yes",M18="Monthly")=TRUE,CHOOSE(R18,"January","February","March","April","May","June","July","August","September","October","November","December"),RIGHT(AB18,3)),"")</f>
        <v/>
      </c>
      <c r="O18" s="581" t="str">
        <f>IF('Loan Entry'!$M18&gt;0,'Loan Entry'!$I18*'Loan Entry'!$Q18,"")</f>
        <v/>
      </c>
      <c r="P18" s="581" t="str">
        <f>IF(M18&gt;0,(H18-(G18-1))*IF(M18="Monthly",12,IF(M18="Quarterly",4,IF(M18="Semi-Annual",2,1))),"")</f>
        <v/>
      </c>
      <c r="Q18" s="581" t="str">
        <f>IF(M18&gt;0,IF(M18="Monthly",12,IF(M18="Quarterly",4,IF(M18="Semi-Annual",2,1))),"")</f>
        <v/>
      </c>
      <c r="R18" s="581" t="str">
        <f>IF(M18&gt;0,IF(I18&lt;1,IF(M18="Annual",1,(YEARFRAC(L18,A18,))*IF(M18="Monthly",O18,IF(M18="quarterly",O18*3,IF(M18="semi-annual",O18*2,12)))),IF(M18="Annual",1,(YEARFRAC(L18,A18,))*12)),"")</f>
        <v/>
      </c>
      <c r="S18" s="581">
        <f>IF(M18&gt;0,INDEX(Inputs!$J$26:$K$37,MATCH('Loan Entry'!N18,Inputs!$J$26:$J$37,0),2)/12,0)</f>
        <v>0</v>
      </c>
      <c r="T18" s="581" t="str">
        <f>IF(M18&lt;&gt;0,IF(R18&gt;12,12,ROUNDUP(IF(M18="Monthly",12*(R18/Q18),IF(M18="Quarterly",((R18/12)*Q18),IF(M18="Semi-Annual",IF(((R18/12)*Q18)&gt;1,2,1),1))),0)),"")</f>
        <v/>
      </c>
      <c r="U18" s="581" t="str">
        <f>IF(M18&gt;0,T18/Q18,"")</f>
        <v/>
      </c>
      <c r="V18" s="582" t="str">
        <f>IF('Loan Entry'!$M18&gt;0,IF(U18=1,X18/T18,(X18/T18)),"")</f>
        <v/>
      </c>
      <c r="W18" s="582" t="str">
        <f>IF('Loan Entry'!$M18&gt;0,IF(U18=1,Y18/T18,U18*(Y18/T18)),"")</f>
        <v/>
      </c>
      <c r="X18" s="582" t="str">
        <f>IF(E18&gt;0,IF('Loan Entry'!$M18&lt;&gt;0,CUMPRINC((365/360)*E18/Q18,O18,F18,1,T18,0)*-1,),'Loan Entry'!$AC18)</f>
        <v/>
      </c>
      <c r="Y18" s="582">
        <f>IF(E18&gt;0,IF('Loan Entry'!$M18&lt;&gt;0,CUMIPMT(((365/360)*E18)/Q18,O18,F18,1,T18,0)*-1,),0)</f>
        <v>0</v>
      </c>
      <c r="Z18" s="582">
        <f>IF(ISERROR(S18*IF(E18&gt;0,IF('Loan Entry'!$M18&lt;&gt;0,CUMIPMT(((365/360)*E18)/Q18,O18,F18,1,T18,0)*-1,),0))=FALSE,S18*IF(E18&gt;0,IF('Loan Entry'!$M18&lt;&gt;0,CUMIPMT(((365/360)*E18)/Q18,O18,F18,1,T18,0)*-1,),0),0)</f>
        <v>0</v>
      </c>
      <c r="AA18" s="582">
        <f>IF(ISERROR(S18*IF(E18&gt;0,IF('Loan Entry'!$M18&lt;&gt;0,CUMIPMT(((365/360)*E18)/Q18,O18-T18,F18,1+T18,T18+T18,0)*-1,),0))=FALSE,S18*IF(E18&gt;0,IF('Loan Entry'!$M18&lt;&gt;0,CUMIPMT(((365/360)*E18)/Q18,O18-T18,F18,1+T18,T18+T18,0)*-1,),0),0)</f>
        <v>0</v>
      </c>
      <c r="AB18" s="582" t="str">
        <f>IF(M18&lt;&gt;0,IF(K18="no",IF(M18="annual",INDEX(Inputs!$C$4:$E$15,MATCH('Loan Entry'!J18,Months,0),3),IF(M18="semi-annual",IF(T18=2,CONCATENATE(INDEX(Inputs!$C$4:$E$15,MATCH('Loan Entry'!J18,Months,0),3),",",INDEX(Inputs!$C$4:$E$15,MATCH(MONTH(L18+190),Inputs!$D$4:$D$15,0),3)),INDEX(Inputs!$C$4:$E$15,MATCH('Loan Entry'!J18,Months,0),3)),IF(M18="Quarterly",IF(T18=4,CONCATENATE(INDEX(Inputs!$C$4:$E$15,MATCH('Loan Entry'!J18,Months,0),3),",",INDEX(Inputs!$C$4:$E$15,MATCH(MONTH(L18+95),Inputs!$D$4:$D$15,0),3),",",INDEX(Inputs!$C$4:$E$15,MATCH(MONTH(L18+190),Inputs!$D$4:$D$15,0),3),",",INDEX(Inputs!$C$4:$E$15,MATCH(MONTH(L18+275),Inputs!$D$4:$D$15,0),3)),IF(T18=3,CONCATENATE(INDEX(Inputs!$C$4:$E$15,MATCH('Loan Entry'!J18,Months,0),3),",",INDEX(Inputs!$C$4:$E$15,MATCH(MONTH(L18+95),Inputs!$D$4:$D$15,0),3),",",INDEX(Inputs!$C$4:$E$15,MATCH(MONTH(L18+190),Inputs!$D$4:$D$15,0),3)),IF(T18=2,CONCATENATE(INDEX(Inputs!$C$4:$E$15,MATCH('Loan Entry'!J18,Months,0),3),",",INDEX(Inputs!$C$4:$E$15,MATCH(MONTH(L18+95),Inputs!$D$4:$D$15,0),3)),INDEX(Inputs!$C$4:$E$15,MATCH('Loan Entry'!J18,Months,0),3)))),INDEX(Inputs!$C$4:$F$15,MATCH('Loan Entry'!J18,Months,0),4)))),IF(M18="annual",INDEX(Inputs!$C$4:$E$15,MATCH('Loan Entry'!J18,Months,0),3),IF(M18="semi-annual",IF(T18=2,CONCATENATE(INDEX(Inputs!$C$4:$E$15,MATCH('Loan Entry'!J18,Months,0),3),",",INDEX(Inputs!$C$4:$E$15,MATCH(MONTH(L18+190),Inputs!$D$4:$D$15,0),3)),INDEX(Inputs!$C$4:$E$15,MATCH('Loan Entry'!J18,Months,0),3)),IF(M18="Quarterly",IF(T18=4,CONCATENATE(INDEX(Inputs!$C$4:$E$15,MATCH('Loan Entry'!J18,Months,0),3),",",INDEX(Inputs!$C$4:$E$15,MATCH(MONTH(L18+95),Inputs!$D$4:$D$15,0),3),",",INDEX(Inputs!$C$4:$E$15,MATCH(MONTH(L18+190),Inputs!$D$4:$D$15,0),3),",",INDEX(Inputs!$C$4:$E$15,MATCH(MONTH(L18+275),Inputs!$D$4:$D$15,0),3)),IF(T18=3,CONCATENATE(INDEX(Inputs!$C$4:$E$15,MATCH('Loan Entry'!J18,Months,0),3),",",INDEX(Inputs!$C$4:$E$15,MATCH(MONTH(L18+95),Inputs!$D$4:$D$15,0),3),",",INDEX(Inputs!$C$4:$E$15,MATCH(MONTH(L18+190),Inputs!$D$4:$D$15,0),3)),IF(T18=2,CONCATENATE(INDEX(Inputs!$C$4:$E$15,MATCH('Loan Entry'!J18,Months,0),3),",",INDEX(Inputs!$C$4:$E$15,MATCH(MONTH(L18+95),Inputs!$D$4:$D$15,0),3)),INDEX(Inputs!$C$4:$G$15,MATCH('Loan Entry'!J18,Months,0),3)))),INDEX(Inputs!$C$4:$G$15,MATCH('Loan Entry'!N18,Months,0),5))))),"")</f>
        <v/>
      </c>
      <c r="AC18" s="925" t="str">
        <f>IF('Loan Entry'!$M18&gt;0,PMT((365/360)*'Loan Entry'!$E18/'Loan Entry'!$Q18,'Loan Entry'!$O18,'Loan Entry'!$F18*-1)*MIN('Loan Entry'!$Q18,O18),"")</f>
        <v/>
      </c>
      <c r="AD18" s="926" t="str">
        <f>IF(F18&gt;0,IF('Loan Entry'!$M18&lt;&gt;0,IF(U18=1,X18,IF(E18=0,U18*X18,X18)),'Loan Entry'!$AC18),"")</f>
        <v/>
      </c>
      <c r="AE18" s="930" t="str">
        <f>IF('Loan Entry'!$M18&gt;0,'Loan Entry'!$F18-'Loan Entry'!$AD18,"")</f>
        <v/>
      </c>
      <c r="AF18" s="651" t="str">
        <f>IF(AE18&gt;0,AC18,0)</f>
        <v/>
      </c>
      <c r="AG18" s="673"/>
      <c r="AH18" s="667" t="str">
        <f>IF(AE18&lt;&gt;0,IF(AE18&lt;AD18,AE18,IF(E18&gt;0,IF('Loan Entry'!$M18&lt;&gt;0,CUMPRINC(E18/Q18,(O18-T18),AE18,1,T18,0)*-1,),'Loan Entry'!$AC18)),0)</f>
        <v/>
      </c>
      <c r="AI18" s="667">
        <f>IF(M18&gt;0,AE18-AH18,0)</f>
        <v>0</v>
      </c>
    </row>
    <row r="19" spans="1:35" s="94" customFormat="1" ht="24.95" customHeight="1" x14ac:dyDescent="0.2">
      <c r="A19" s="459"/>
      <c r="B19" s="952" t="str">
        <f>CONCATENATE("Sub-Total ",B13)</f>
        <v>Sub-Total Equipment Loans</v>
      </c>
      <c r="C19" s="952"/>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52"/>
      <c r="AB19" s="952"/>
      <c r="AC19" s="952"/>
      <c r="AD19" s="279">
        <f>SUM('Loan Entry'!$AD$15:$AD$18)</f>
        <v>0</v>
      </c>
      <c r="AE19" s="279">
        <f>SUM('Loan Entry'!$AE$15:$AE$18)</f>
        <v>0</v>
      </c>
      <c r="AF19" s="652"/>
      <c r="AG19" s="666"/>
      <c r="AH19" s="669">
        <f>SUM(AH15:AH18)</f>
        <v>0</v>
      </c>
      <c r="AI19" s="669">
        <f>SUM(AI15:AI18)</f>
        <v>0</v>
      </c>
    </row>
    <row r="20" spans="1:35" ht="12.75" x14ac:dyDescent="0.2">
      <c r="AH20" s="667"/>
      <c r="AI20" s="667"/>
    </row>
    <row r="21" spans="1:35" ht="24.95" customHeight="1" x14ac:dyDescent="0.2">
      <c r="B21" s="954" t="s">
        <v>262</v>
      </c>
      <c r="C21" s="954"/>
      <c r="D21" s="954"/>
      <c r="E21" s="954"/>
      <c r="F21" s="954"/>
      <c r="G21" s="954"/>
      <c r="H21" s="954"/>
      <c r="I21" s="954"/>
      <c r="J21" s="954"/>
      <c r="K21" s="954"/>
      <c r="L21" s="954"/>
      <c r="M21" s="954"/>
      <c r="N21" s="954"/>
      <c r="O21" s="954"/>
      <c r="P21" s="954"/>
      <c r="Q21" s="954"/>
      <c r="R21" s="954"/>
      <c r="S21" s="954"/>
      <c r="T21" s="954"/>
      <c r="U21" s="954"/>
      <c r="V21" s="954"/>
      <c r="W21" s="954"/>
      <c r="X21" s="954"/>
      <c r="Y21" s="954"/>
      <c r="Z21" s="954"/>
      <c r="AA21" s="954"/>
      <c r="AB21" s="954"/>
      <c r="AC21" s="954"/>
      <c r="AD21" s="954"/>
      <c r="AE21" s="954"/>
      <c r="AH21" s="667"/>
      <c r="AI21" s="667"/>
    </row>
    <row r="22" spans="1:35" ht="24.95" customHeight="1" thickBot="1" x14ac:dyDescent="0.25">
      <c r="B22" s="482" t="s">
        <v>91</v>
      </c>
      <c r="C22" s="483" t="s">
        <v>92</v>
      </c>
      <c r="D22" s="479" t="s">
        <v>176</v>
      </c>
      <c r="E22" s="484" t="s">
        <v>93</v>
      </c>
      <c r="F22" s="480" t="s">
        <v>115</v>
      </c>
      <c r="G22" s="480" t="s">
        <v>97</v>
      </c>
      <c r="H22" s="480" t="s">
        <v>231</v>
      </c>
      <c r="I22" s="485" t="s">
        <v>104</v>
      </c>
      <c r="J22" s="485" t="s">
        <v>182</v>
      </c>
      <c r="K22" s="570" t="s">
        <v>233</v>
      </c>
      <c r="L22" s="570" t="s">
        <v>236</v>
      </c>
      <c r="M22" s="480" t="s">
        <v>98</v>
      </c>
      <c r="N22" s="571" t="s">
        <v>234</v>
      </c>
      <c r="O22" s="571" t="s">
        <v>235</v>
      </c>
      <c r="P22" s="571" t="s">
        <v>232</v>
      </c>
      <c r="Q22" s="571" t="s">
        <v>107</v>
      </c>
      <c r="R22" s="571" t="s">
        <v>185</v>
      </c>
      <c r="S22" s="571" t="s">
        <v>438</v>
      </c>
      <c r="T22" s="571" t="s">
        <v>199</v>
      </c>
      <c r="U22" s="571" t="s">
        <v>205</v>
      </c>
      <c r="V22" s="571" t="s">
        <v>183</v>
      </c>
      <c r="W22" s="571" t="s">
        <v>184</v>
      </c>
      <c r="X22" s="571" t="s">
        <v>197</v>
      </c>
      <c r="Y22" s="571" t="s">
        <v>198</v>
      </c>
      <c r="Z22" s="571" t="s">
        <v>435</v>
      </c>
      <c r="AA22" s="571" t="s">
        <v>434</v>
      </c>
      <c r="AB22" s="571" t="s">
        <v>106</v>
      </c>
      <c r="AC22" s="485" t="s">
        <v>94</v>
      </c>
      <c r="AD22" s="485" t="s">
        <v>95</v>
      </c>
      <c r="AE22" s="485" t="s">
        <v>96</v>
      </c>
      <c r="AH22" s="667"/>
      <c r="AI22" s="667"/>
    </row>
    <row r="23" spans="1:35" ht="24.95" customHeight="1" thickTop="1" x14ac:dyDescent="0.2">
      <c r="A23" s="460" t="str">
        <f>IF('Loan Entry'!$M23&gt;0,DATE((G23+1),1,1),"")</f>
        <v/>
      </c>
      <c r="B23" s="333"/>
      <c r="C23" s="334"/>
      <c r="D23" s="334"/>
      <c r="E23" s="938"/>
      <c r="F23" s="335"/>
      <c r="G23" s="336"/>
      <c r="H23" s="449" t="str">
        <f>IF(I23&gt;0,ROUNDDOWN(Year+I23,0),"")</f>
        <v/>
      </c>
      <c r="I23" s="336"/>
      <c r="J23" s="336"/>
      <c r="K23" s="449" t="e">
        <f>IF(H23&gt;0,IF(H23-Year=0,"yes","no"),"")</f>
        <v>#VALUE!</v>
      </c>
      <c r="L23" s="449" t="str">
        <f>IF('Loan Entry'!$J23&gt;0,DATE(G23,INDEX(Inputs!$C$4:$D$15,MATCH(J23,Months,0),2),1),"")</f>
        <v/>
      </c>
      <c r="M23" s="336"/>
      <c r="N23" s="449" t="str">
        <f>IF(M23&lt;&gt;0,IF(AND(K23="yes",M23="Monthly")=TRUE,CHOOSE(R23,"January","February","March","April","May","June","July","August","September","October","November","December"),RIGHT(AB23,3)),"")</f>
        <v/>
      </c>
      <c r="O23" s="449" t="str">
        <f>IF('Loan Entry'!$M23&gt;0,'Loan Entry'!$I23*'Loan Entry'!$Q23,"")</f>
        <v/>
      </c>
      <c r="P23" s="449" t="str">
        <f>IF(M23&gt;0,(H23-(G23-1))*IF(M23="Monthly",12,IF(M23="Quarterly",4,IF(M23="Semi-Annual",2,1))),"")</f>
        <v/>
      </c>
      <c r="Q23" s="449" t="str">
        <f>IF(M23&gt;0,IF(M23="Monthly",12,IF(M23="Quarterly",4,IF(M23="Semi-Annual",2,1))),"")</f>
        <v/>
      </c>
      <c r="R23" s="449" t="str">
        <f>IF(M23&gt;0,IF(I23&lt;1,IF(M23="Annual",1,(YEARFRAC(L23,A23,))*IF(M23="Monthly",O23,IF(M23="quarterly",O23*3,IF(M23="semi-annual",O23*2,12)))),IF(M23="Annual",1,(YEARFRAC(L23,A23,))*12)),"")</f>
        <v/>
      </c>
      <c r="S23" s="449">
        <f>IF(M23&gt;0,INDEX(Inputs!$J$26:$K$37,MATCH('Loan Entry'!N23,Inputs!$J$26:$J$37,0),2)/12,0)</f>
        <v>0</v>
      </c>
      <c r="T23" s="449" t="str">
        <f>IF(M23&lt;&gt;0,IF(R23&gt;12,12,ROUNDUP(IF(M23="Monthly",12*(R23/Q23),IF(M23="Quarterly",((R23/12)*Q23),IF(M23="Semi-Annual",IF(((R23/12)*Q23)&gt;1,2,1),1))),0)),"")</f>
        <v/>
      </c>
      <c r="U23" s="449" t="str">
        <f>IF(M23&gt;0,T23/Q23,"")</f>
        <v/>
      </c>
      <c r="V23" s="449" t="str">
        <f>IF('Loan Entry'!$M23&gt;0,IF(U23=1,X23/T23,(X23/T23)),"")</f>
        <v/>
      </c>
      <c r="W23" s="575" t="str">
        <f>IF('Loan Entry'!$M23&gt;0,IF(U23=1,Y23/T23,U23*(Y23/T23)),"")</f>
        <v/>
      </c>
      <c r="X23" s="449" t="str">
        <f>IF(E23&gt;0,IF('Loan Entry'!$M23&lt;&gt;0,CUMPRINC((365/360)*E23/Q23,O23,F23,1,T23,0)*-1,),'Loan Entry'!$AC23)</f>
        <v/>
      </c>
      <c r="Y23" s="449">
        <f>IF(E23&gt;0,IF('Loan Entry'!$M23&lt;&gt;0,CUMIPMT(((365/360)*E23)/Q23,O23,F23,1,T23,0)*-1,),0)</f>
        <v>0</v>
      </c>
      <c r="Z23" s="449">
        <f>IF(ISERROR(S23*IF(E23&gt;0,IF('Loan Entry'!$M23&lt;&gt;0,CUMIPMT(((365/360)*E23)/Q23,O23,F23,1,T23,0)*-1,),0))=FALSE,S23*IF(E23&gt;0,IF('Loan Entry'!$M23&lt;&gt;0,CUMIPMT(((365/360)*E23)/Q23,O23,F23,1,T23,0)*-1,),0),0)</f>
        <v>0</v>
      </c>
      <c r="AA23" s="449">
        <f>IF(ISERROR(S23*IF(E23&gt;0,IF('Loan Entry'!$M23&lt;&gt;0,CUMIPMT(((365/360)*E23)/Q23,O23-T23,F23,1+T23,T23+T23,0)*-1,),0))=FALSE,S23*IF(E23&gt;0,IF('Loan Entry'!$M23&lt;&gt;0,CUMIPMT(((365/360)*E23)/Q23,O23-T23,F23,1+T23,T23+T23,0)*-1,),0),0)</f>
        <v>0</v>
      </c>
      <c r="AB23" s="449" t="str">
        <f>IF(M23&lt;&gt;0,IF(K23="no",IF(M23="annual",INDEX(Inputs!$C$4:$E$15,MATCH('Loan Entry'!J23,Months,0),3),IF(M23="semi-annual",IF(T23=2,CONCATENATE(INDEX(Inputs!$C$4:$E$15,MATCH('Loan Entry'!J23,Months,0),3),",",INDEX(Inputs!$C$4:$E$15,MATCH(MONTH(L23+190),Inputs!$D$4:$D$15,0),3)),INDEX(Inputs!$C$4:$E$15,MATCH('Loan Entry'!J23,Months,0),3)),IF(M23="Quarterly",IF(T23=4,CONCATENATE(INDEX(Inputs!$C$4:$E$15,MATCH('Loan Entry'!J23,Months,0),3),",",INDEX(Inputs!$C$4:$E$15,MATCH(MONTH(L23+95),Inputs!$D$4:$D$15,0),3),",",INDEX(Inputs!$C$4:$E$15,MATCH(MONTH(L23+190),Inputs!$D$4:$D$15,0),3),",",INDEX(Inputs!$C$4:$E$15,MATCH(MONTH(L23+275),Inputs!$D$4:$D$15,0),3)),IF(T23=3,CONCATENATE(INDEX(Inputs!$C$4:$E$15,MATCH('Loan Entry'!J23,Months,0),3),",",INDEX(Inputs!$C$4:$E$15,MATCH(MONTH(L23+95),Inputs!$D$4:$D$15,0),3),",",INDEX(Inputs!$C$4:$E$15,MATCH(MONTH(L23+190),Inputs!$D$4:$D$15,0),3)),IF(T23=2,CONCATENATE(INDEX(Inputs!$C$4:$E$15,MATCH('Loan Entry'!J23,Months,0),3),",",INDEX(Inputs!$C$4:$E$15,MATCH(MONTH(L23+95),Inputs!$D$4:$D$15,0),3)),INDEX(Inputs!$C$4:$E$15,MATCH('Loan Entry'!J23,Months,0),3)))),INDEX(Inputs!$C$4:$F$15,MATCH('Loan Entry'!J23,Months,0),4)))),IF(M23="annual",INDEX(Inputs!$C$4:$E$15,MATCH('Loan Entry'!J23,Months,0),3),IF(M23="semi-annual",IF(T23=2,CONCATENATE(INDEX(Inputs!$C$4:$E$15,MATCH('Loan Entry'!J23,Months,0),3),",",INDEX(Inputs!$C$4:$E$15,MATCH(MONTH(L23+190),Inputs!$D$4:$D$15,0),3)),INDEX(Inputs!$C$4:$E$15,MATCH('Loan Entry'!J23,Months,0),3)),IF(M23="Quarterly",IF(T23=4,CONCATENATE(INDEX(Inputs!$C$4:$E$15,MATCH('Loan Entry'!J23,Months,0),3),",",INDEX(Inputs!$C$4:$E$15,MATCH(MONTH(L23+95),Inputs!$D$4:$D$15,0),3),",",INDEX(Inputs!$C$4:$E$15,MATCH(MONTH(L23+190),Inputs!$D$4:$D$15,0),3),",",INDEX(Inputs!$C$4:$E$15,MATCH(MONTH(L23+275),Inputs!$D$4:$D$15,0),3)),IF(T23=3,CONCATENATE(INDEX(Inputs!$C$4:$E$15,MATCH('Loan Entry'!J23,Months,0),3),",",INDEX(Inputs!$C$4:$E$15,MATCH(MONTH(L23+95),Inputs!$D$4:$D$15,0),3),",",INDEX(Inputs!$C$4:$E$15,MATCH(MONTH(L23+190),Inputs!$D$4:$D$15,0),3)),IF(T23=2,CONCATENATE(INDEX(Inputs!$C$4:$E$15,MATCH('Loan Entry'!J23,Months,0),3),",",INDEX(Inputs!$C$4:$E$15,MATCH(MONTH(L23+95),Inputs!$D$4:$D$15,0),3)),INDEX(Inputs!$C$4:$G$15,MATCH('Loan Entry'!J23,Months,0),3)))),INDEX(Inputs!$C$4:$G$15,MATCH('Loan Entry'!N23,Months,0),5))))),"")</f>
        <v/>
      </c>
      <c r="AC23" s="923" t="str">
        <f>IF('Loan Entry'!$M23&gt;0,PMT((365/360)*'Loan Entry'!$E23/'Loan Entry'!$Q23,'Loan Entry'!$O23,'Loan Entry'!$F23*-1)*MIN('Loan Entry'!$Q23,O23),"")</f>
        <v/>
      </c>
      <c r="AD23" s="924" t="str">
        <f>IF(F23&gt;0,IF('Loan Entry'!$M23&lt;&gt;0,IF(U23=1,X23,IF(E23=0,U23*X23,X23)),'Loan Entry'!$AC23),"")</f>
        <v/>
      </c>
      <c r="AE23" s="929" t="str">
        <f>IF('Loan Entry'!$M23&gt;0,'Loan Entry'!$F23-'Loan Entry'!$AD23,"")</f>
        <v/>
      </c>
      <c r="AF23" s="651" t="str">
        <f>IF(AE23&gt;0,AC23,0)</f>
        <v/>
      </c>
      <c r="AG23" s="651"/>
      <c r="AH23" s="667" t="str">
        <f>IF(AE23&lt;&gt;0,IF(AE23&lt;AD23,AE23,IF(E23&gt;0,IF('Loan Entry'!$M23&lt;&gt;0,CUMPRINC(E23/Q23,(O23-T23),AE23,1,T23,0)*-1,),'Loan Entry'!$AC23)),0)</f>
        <v/>
      </c>
      <c r="AI23" s="667">
        <f>IF(M23&gt;0,AE23-AH23,0)</f>
        <v>0</v>
      </c>
    </row>
    <row r="24" spans="1:35" ht="24.95" customHeight="1" x14ac:dyDescent="0.2">
      <c r="A24" s="460" t="str">
        <f>IF('Loan Entry'!$M24&gt;0,DATE((G24+1),1,1),"")</f>
        <v/>
      </c>
      <c r="B24" s="337"/>
      <c r="C24" s="338"/>
      <c r="D24" s="338"/>
      <c r="E24" s="939"/>
      <c r="F24" s="339"/>
      <c r="G24" s="340"/>
      <c r="H24" s="450" t="str">
        <f>IF(I24&gt;0,ROUNDDOWN(Year+I24,0),"")</f>
        <v/>
      </c>
      <c r="I24" s="340"/>
      <c r="J24" s="340"/>
      <c r="K24" s="450" t="e">
        <f>IF(H24&gt;0,IF(H24-Year=0,"yes","no"),"")</f>
        <v>#VALUE!</v>
      </c>
      <c r="L24" s="450" t="str">
        <f>IF('Loan Entry'!$J24&gt;0,DATE(G24,INDEX(Inputs!$C$4:$D$15,MATCH(J24,Months,0),2),1),"")</f>
        <v/>
      </c>
      <c r="M24" s="340"/>
      <c r="N24" s="450" t="str">
        <f>IF(M24&lt;&gt;0,IF(AND(K24="yes",M24="Monthly")=TRUE,CHOOSE(R24,"January","February","March","April","May","June","July","August","September","October","November","December"),RIGHT(AB24,3)),"")</f>
        <v/>
      </c>
      <c r="O24" s="581" t="str">
        <f>IF('Loan Entry'!$M24&gt;0,'Loan Entry'!$I24*'Loan Entry'!$Q24,"")</f>
        <v/>
      </c>
      <c r="P24" s="581" t="str">
        <f>IF(M24&gt;0,(H24-(G24-1))*IF(M24="Monthly",12,IF(M24="Quarterly",4,IF(M24="Semi-Annual",2,1))),"")</f>
        <v/>
      </c>
      <c r="Q24" s="581" t="str">
        <f>IF(M24&gt;0,IF(M24="Monthly",12,IF(M24="Quarterly",4,IF(M24="Semi-Annual",2,1))),"")</f>
        <v/>
      </c>
      <c r="R24" s="581" t="str">
        <f>IF(M24&gt;0,IF(I24&lt;1,IF(M24="Annual",1,(YEARFRAC(L24,A24,))*IF(M24="Monthly",O24,IF(M24="quarterly",O24*3,IF(M24="semi-annual",O24*2,12)))),IF(M24="Annual",1,(YEARFRAC(L24,A24,))*12)),"")</f>
        <v/>
      </c>
      <c r="S24" s="581">
        <f>IF(M24&gt;0,INDEX(Inputs!$J$26:$K$37,MATCH('Loan Entry'!N24,Inputs!$J$26:$J$37,0),2)/12,0)</f>
        <v>0</v>
      </c>
      <c r="T24" s="581" t="str">
        <f>IF(M24&lt;&gt;0,IF(R24&gt;12,12,ROUNDUP(IF(M24="Monthly",12*(R24/Q24),IF(M24="Quarterly",((R24/12)*Q24),IF(M24="Semi-Annual",IF(((R24/12)*Q24)&gt;1,2,1),1))),0)),"")</f>
        <v/>
      </c>
      <c r="U24" s="581" t="str">
        <f>IF(M24&gt;0,T24/Q24,"")</f>
        <v/>
      </c>
      <c r="V24" s="581" t="str">
        <f>IF('Loan Entry'!$M24&gt;0,IF(U24=1,X24/T24,(X24/T24)),"")</f>
        <v/>
      </c>
      <c r="W24" s="581" t="str">
        <f>IF('Loan Entry'!$M24&gt;0,IF(U24=1,Y24/T24,U24*(Y24/T24)),"")</f>
        <v/>
      </c>
      <c r="X24" s="581" t="str">
        <f>IF(E24&gt;0,IF('Loan Entry'!$M24&lt;&gt;0,CUMPRINC((365/360)*E24/Q24,O24,F24,1,T24,0)*-1,),'Loan Entry'!$AC24)</f>
        <v/>
      </c>
      <c r="Y24" s="581">
        <f>IF(E24&gt;0,IF('Loan Entry'!$M24&lt;&gt;0,CUMIPMT(((365/360)*E24)/Q24,O24,F24,1,T24,0)*-1,),0)</f>
        <v>0</v>
      </c>
      <c r="Z24" s="581">
        <f>IF(ISERROR(S24*IF(E24&gt;0,IF('Loan Entry'!$M24&lt;&gt;0,CUMIPMT(((365/360)*E24)/Q24,O24,F24,1,T24,0)*-1,),0))=FALSE,S24*IF(E24&gt;0,IF('Loan Entry'!$M24&lt;&gt;0,CUMIPMT(((365/360)*E24)/Q24,O24,F24,1,T24,0)*-1,),0),0)</f>
        <v>0</v>
      </c>
      <c r="AA24" s="581">
        <f>IF(ISERROR(S24*IF(E24&gt;0,IF('Loan Entry'!$M24&lt;&gt;0,CUMIPMT(((365/360)*E24)/Q24,O24-T24,F24,1+T24,T24+T24,0)*-1,),0))=FALSE,S24*IF(E24&gt;0,IF('Loan Entry'!$M24&lt;&gt;0,CUMIPMT(((365/360)*E24)/Q24,O24-T24,F24,1+T24,T24+T24,0)*-1,),0),0)</f>
        <v>0</v>
      </c>
      <c r="AB24" s="581" t="str">
        <f>IF(M24&lt;&gt;0,IF(K24="no",IF(M24="annual",INDEX(Inputs!$C$4:$E$15,MATCH('Loan Entry'!J24,Months,0),3),IF(M24="semi-annual",IF(T24=2,CONCATENATE(INDEX(Inputs!$C$4:$E$15,MATCH('Loan Entry'!J24,Months,0),3),",",INDEX(Inputs!$C$4:$E$15,MATCH(MONTH(L24+190),Inputs!$D$4:$D$15,0),3)),INDEX(Inputs!$C$4:$E$15,MATCH('Loan Entry'!J24,Months,0),3)),IF(M24="Quarterly",IF(T24=4,CONCATENATE(INDEX(Inputs!$C$4:$E$15,MATCH('Loan Entry'!J24,Months,0),3),",",INDEX(Inputs!$C$4:$E$15,MATCH(MONTH(L24+95),Inputs!$D$4:$D$15,0),3),",",INDEX(Inputs!$C$4:$E$15,MATCH(MONTH(L24+190),Inputs!$D$4:$D$15,0),3),",",INDEX(Inputs!$C$4:$E$15,MATCH(MONTH(L24+275),Inputs!$D$4:$D$15,0),3)),IF(T24=3,CONCATENATE(INDEX(Inputs!$C$4:$E$15,MATCH('Loan Entry'!J24,Months,0),3),",",INDEX(Inputs!$C$4:$E$15,MATCH(MONTH(L24+95),Inputs!$D$4:$D$15,0),3),",",INDEX(Inputs!$C$4:$E$15,MATCH(MONTH(L24+190),Inputs!$D$4:$D$15,0),3)),IF(T24=2,CONCATENATE(INDEX(Inputs!$C$4:$E$15,MATCH('Loan Entry'!J24,Months,0),3),",",INDEX(Inputs!$C$4:$E$15,MATCH(MONTH(L24+95),Inputs!$D$4:$D$15,0),3)),INDEX(Inputs!$C$4:$E$15,MATCH('Loan Entry'!J24,Months,0),3)))),INDEX(Inputs!$C$4:$F$15,MATCH('Loan Entry'!J24,Months,0),4)))),IF(M24="annual",INDEX(Inputs!$C$4:$E$15,MATCH('Loan Entry'!J24,Months,0),3),IF(M24="semi-annual",IF(T24=2,CONCATENATE(INDEX(Inputs!$C$4:$E$15,MATCH('Loan Entry'!J24,Months,0),3),",",INDEX(Inputs!$C$4:$E$15,MATCH(MONTH(L24+190),Inputs!$D$4:$D$15,0),3)),INDEX(Inputs!$C$4:$E$15,MATCH('Loan Entry'!J24,Months,0),3)),IF(M24="Quarterly",IF(T24=4,CONCATENATE(INDEX(Inputs!$C$4:$E$15,MATCH('Loan Entry'!J24,Months,0),3),",",INDEX(Inputs!$C$4:$E$15,MATCH(MONTH(L24+95),Inputs!$D$4:$D$15,0),3),",",INDEX(Inputs!$C$4:$E$15,MATCH(MONTH(L24+190),Inputs!$D$4:$D$15,0),3),",",INDEX(Inputs!$C$4:$E$15,MATCH(MONTH(L24+275),Inputs!$D$4:$D$15,0),3)),IF(T24=3,CONCATENATE(INDEX(Inputs!$C$4:$E$15,MATCH('Loan Entry'!J24,Months,0),3),",",INDEX(Inputs!$C$4:$E$15,MATCH(MONTH(L24+95),Inputs!$D$4:$D$15,0),3),",",INDEX(Inputs!$C$4:$E$15,MATCH(MONTH(L24+190),Inputs!$D$4:$D$15,0),3)),IF(T24=2,CONCATENATE(INDEX(Inputs!$C$4:$E$15,MATCH('Loan Entry'!J24,Months,0),3),",",INDEX(Inputs!$C$4:$E$15,MATCH(MONTH(L24+95),Inputs!$D$4:$D$15,0),3)),INDEX(Inputs!$C$4:$G$15,MATCH('Loan Entry'!J24,Months,0),3)))),INDEX(Inputs!$C$4:$G$15,MATCH('Loan Entry'!N24,Months,0),5))))),"")</f>
        <v/>
      </c>
      <c r="AC24" s="925" t="str">
        <f>IF('Loan Entry'!$M24&gt;0,PMT((365/360)*'Loan Entry'!$E24/'Loan Entry'!$Q24,'Loan Entry'!$O24,'Loan Entry'!$F24*-1)*MIN('Loan Entry'!$Q24,O24),"")</f>
        <v/>
      </c>
      <c r="AD24" s="926" t="str">
        <f>IF(F24&gt;0,IF('Loan Entry'!$M24&lt;&gt;0,IF(U24=1,X24,IF(E24=0,U24*X24,X24)),'Loan Entry'!$AC24),"")</f>
        <v/>
      </c>
      <c r="AE24" s="930" t="str">
        <f>IF('Loan Entry'!$M24&gt;0,'Loan Entry'!$F24-'Loan Entry'!$AD24,"")</f>
        <v/>
      </c>
      <c r="AF24" s="651" t="str">
        <f>IF(AE24&gt;0,AC24,0)</f>
        <v/>
      </c>
      <c r="AG24" s="651"/>
      <c r="AH24" s="667" t="str">
        <f>IF(AE24&lt;&gt;0,IF(AE24&lt;AD24,AE24,IF(E24&gt;0,IF('Loan Entry'!$M24&lt;&gt;0,CUMPRINC(E24/Q24,(O24-T24),AE24,1,T24,0)*-1,),'Loan Entry'!$AC24)),0)</f>
        <v/>
      </c>
      <c r="AI24" s="667">
        <f>IF(M24&gt;0,AE24-AH24,0)</f>
        <v>0</v>
      </c>
    </row>
    <row r="25" spans="1:35" s="94" customFormat="1" ht="24.95" customHeight="1" x14ac:dyDescent="0.2">
      <c r="A25" s="460" t="str">
        <f>IF('Loan Entry'!$M25&gt;0,DATE((G25+1),1,1),"")</f>
        <v/>
      </c>
      <c r="B25" s="341"/>
      <c r="C25" s="342"/>
      <c r="D25" s="342"/>
      <c r="E25" s="940"/>
      <c r="F25" s="343"/>
      <c r="G25" s="344"/>
      <c r="H25" s="451" t="str">
        <f>IF(I25&gt;0,ROUNDDOWN(Year+I25,0),"")</f>
        <v/>
      </c>
      <c r="I25" s="344"/>
      <c r="J25" s="344"/>
      <c r="K25" s="451" t="e">
        <f>IF(H25&gt;0,IF(H25-Year=0,"yes","no"),"")</f>
        <v>#VALUE!</v>
      </c>
      <c r="L25" s="451" t="str">
        <f>IF('Loan Entry'!$J25&gt;0,DATE(G25,INDEX(Inputs!$C$4:$D$15,MATCH(J25,Months,0),2),1),"")</f>
        <v/>
      </c>
      <c r="M25" s="344"/>
      <c r="N25" s="451" t="str">
        <f>IF(M25&lt;&gt;0,IF(AND(K25="yes",M25="Monthly")=TRUE,CHOOSE(R25,"January","February","March","April","May","June","July","August","September","October","November","December"),RIGHT(AB25,3)),"")</f>
        <v/>
      </c>
      <c r="O25" s="583" t="str">
        <f>IF('Loan Entry'!$M25&gt;0,'Loan Entry'!$I25*'Loan Entry'!$Q25,"")</f>
        <v/>
      </c>
      <c r="P25" s="583" t="str">
        <f>IF(M25&gt;0,(H25-(G25-1))*IF(M25="Monthly",12,IF(M25="Quarterly",4,IF(M25="Semi-Annual",2,1))),"")</f>
        <v/>
      </c>
      <c r="Q25" s="583" t="str">
        <f>IF(M25&gt;0,IF(M25="Monthly",12,IF(M25="Quarterly",4,IF(M25="Semi-Annual",2,1))),"")</f>
        <v/>
      </c>
      <c r="R25" s="583" t="str">
        <f>IF(M25&gt;0,IF(I25&lt;1,IF(M25="Annual",1,(YEARFRAC(L25,A25,))*IF(M25="Monthly",O25,IF(M25="quarterly",O25*3,IF(M25="semi-annual",O25*2,12)))),IF(M25="Annual",1,(YEARFRAC(L25,A25,))*12)),"")</f>
        <v/>
      </c>
      <c r="S25" s="583">
        <f>IF(M25&gt;0,INDEX(Inputs!$J$26:$K$37,MATCH('Loan Entry'!N25,Inputs!$J$26:$J$37,0),2)/12,0)</f>
        <v>0</v>
      </c>
      <c r="T25" s="583" t="str">
        <f>IF(M25&lt;&gt;0,IF(R25&gt;12,12,ROUNDUP(IF(M25="Monthly",12*(R25/Q25),IF(M25="Quarterly",((R25/12)*Q25),IF(M25="Semi-Annual",IF(((R25/12)*Q25)&gt;1,2,1),1))),0)),"")</f>
        <v/>
      </c>
      <c r="U25" s="583" t="str">
        <f>IF(M25&gt;0,T25/Q25,"")</f>
        <v/>
      </c>
      <c r="V25" s="583" t="str">
        <f>IF('Loan Entry'!$M25&gt;0,IF(U25=1,X25/T25,(X25/T25)),"")</f>
        <v/>
      </c>
      <c r="W25" s="583" t="str">
        <f>IF('Loan Entry'!$M25&gt;0,IF(U25=1,Y25/T25,U25*(Y25/T25)),"")</f>
        <v/>
      </c>
      <c r="X25" s="583" t="str">
        <f>IF(E25&gt;0,IF('Loan Entry'!$M25&lt;&gt;0,CUMPRINC((365/360)*E25/Q25,O25,F25,1,T25,0)*-1,),'Loan Entry'!$AC25)</f>
        <v/>
      </c>
      <c r="Y25" s="583">
        <f>IF(E25&gt;0,IF('Loan Entry'!$M25&lt;&gt;0,CUMIPMT(((365/360)*E25)/Q25,O25,F25,1,T25,0)*-1,),0)</f>
        <v>0</v>
      </c>
      <c r="Z25" s="583">
        <f>IF(ISERROR(S25*IF(E25&gt;0,IF('Loan Entry'!$M25&lt;&gt;0,CUMIPMT(((365/360)*E25)/Q25,O25,F25,1,T25,0)*-1,),0))=FALSE,S25*IF(E25&gt;0,IF('Loan Entry'!$M25&lt;&gt;0,CUMIPMT(((365/360)*E25)/Q25,O25,F25,1,T25,0)*-1,),0),0)</f>
        <v>0</v>
      </c>
      <c r="AA25" s="583">
        <f>IF(ISERROR(S25*IF(E25&gt;0,IF('Loan Entry'!$M25&lt;&gt;0,CUMIPMT(((365/360)*E25)/Q25,O25-T25,F25,1+T25,T25+T25,0)*-1,),0))=FALSE,S25*IF(E25&gt;0,IF('Loan Entry'!$M25&lt;&gt;0,CUMIPMT(((365/360)*E25)/Q25,O25-T25,F25,1+T25,T25+T25,0)*-1,),0),0)</f>
        <v>0</v>
      </c>
      <c r="AB25" s="583" t="str">
        <f>IF(M25&lt;&gt;0,IF(K25="no",IF(M25="annual",INDEX(Inputs!$C$4:$E$15,MATCH('Loan Entry'!J25,Months,0),3),IF(M25="semi-annual",IF(T25=2,CONCATENATE(INDEX(Inputs!$C$4:$E$15,MATCH('Loan Entry'!J25,Months,0),3),",",INDEX(Inputs!$C$4:$E$15,MATCH(MONTH(L25+190),Inputs!$D$4:$D$15,0),3)),INDEX(Inputs!$C$4:$E$15,MATCH('Loan Entry'!J25,Months,0),3)),IF(M25="Quarterly",IF(T25=4,CONCATENATE(INDEX(Inputs!$C$4:$E$15,MATCH('Loan Entry'!J25,Months,0),3),",",INDEX(Inputs!$C$4:$E$15,MATCH(MONTH(L25+95),Inputs!$D$4:$D$15,0),3),",",INDEX(Inputs!$C$4:$E$15,MATCH(MONTH(L25+190),Inputs!$D$4:$D$15,0),3),",",INDEX(Inputs!$C$4:$E$15,MATCH(MONTH(L25+275),Inputs!$D$4:$D$15,0),3)),IF(T25=3,CONCATENATE(INDEX(Inputs!$C$4:$E$15,MATCH('Loan Entry'!J25,Months,0),3),",",INDEX(Inputs!$C$4:$E$15,MATCH(MONTH(L25+95),Inputs!$D$4:$D$15,0),3),",",INDEX(Inputs!$C$4:$E$15,MATCH(MONTH(L25+190),Inputs!$D$4:$D$15,0),3)),IF(T25=2,CONCATENATE(INDEX(Inputs!$C$4:$E$15,MATCH('Loan Entry'!J25,Months,0),3),",",INDEX(Inputs!$C$4:$E$15,MATCH(MONTH(L25+95),Inputs!$D$4:$D$15,0),3)),INDEX(Inputs!$C$4:$E$15,MATCH('Loan Entry'!J25,Months,0),3)))),INDEX(Inputs!$C$4:$F$15,MATCH('Loan Entry'!J25,Months,0),4)))),IF(M25="annual",INDEX(Inputs!$C$4:$E$15,MATCH('Loan Entry'!J25,Months,0),3),IF(M25="semi-annual",IF(T25=2,CONCATENATE(INDEX(Inputs!$C$4:$E$15,MATCH('Loan Entry'!J25,Months,0),3),",",INDEX(Inputs!$C$4:$E$15,MATCH(MONTH(L25+190),Inputs!$D$4:$D$15,0),3)),INDEX(Inputs!$C$4:$E$15,MATCH('Loan Entry'!J25,Months,0),3)),IF(M25="Quarterly",IF(T25=4,CONCATENATE(INDEX(Inputs!$C$4:$E$15,MATCH('Loan Entry'!J25,Months,0),3),",",INDEX(Inputs!$C$4:$E$15,MATCH(MONTH(L25+95),Inputs!$D$4:$D$15,0),3),",",INDEX(Inputs!$C$4:$E$15,MATCH(MONTH(L25+190),Inputs!$D$4:$D$15,0),3),",",INDEX(Inputs!$C$4:$E$15,MATCH(MONTH(L25+275),Inputs!$D$4:$D$15,0),3)),IF(T25=3,CONCATENATE(INDEX(Inputs!$C$4:$E$15,MATCH('Loan Entry'!J25,Months,0),3),",",INDEX(Inputs!$C$4:$E$15,MATCH(MONTH(L25+95),Inputs!$D$4:$D$15,0),3),",",INDEX(Inputs!$C$4:$E$15,MATCH(MONTH(L25+190),Inputs!$D$4:$D$15,0),3)),IF(T25=2,CONCATENATE(INDEX(Inputs!$C$4:$E$15,MATCH('Loan Entry'!J25,Months,0),3),",",INDEX(Inputs!$C$4:$E$15,MATCH(MONTH(L25+95),Inputs!$D$4:$D$15,0),3)),INDEX(Inputs!$C$4:$G$15,MATCH('Loan Entry'!J25,Months,0),3)))),INDEX(Inputs!$C$4:$G$15,MATCH('Loan Entry'!N25,Months,0),5))))),"")</f>
        <v/>
      </c>
      <c r="AC25" s="927" t="str">
        <f>IF('Loan Entry'!$M25&gt;0,PMT((365/360)*'Loan Entry'!$E25/'Loan Entry'!$Q25,'Loan Entry'!$O25,'Loan Entry'!$F25*-1)*MIN('Loan Entry'!$Q25,O25),"")</f>
        <v/>
      </c>
      <c r="AD25" s="928" t="str">
        <f>IF(F25&gt;0,IF('Loan Entry'!$M25&lt;&gt;0,IF(U25=1,X25,IF(E25=0,U25*X25,X25)),'Loan Entry'!$AC25),"")</f>
        <v/>
      </c>
      <c r="AE25" s="931" t="str">
        <f>IF('Loan Entry'!$M25&gt;0,'Loan Entry'!$F25-'Loan Entry'!$AD25,"")</f>
        <v/>
      </c>
      <c r="AF25" s="652" t="str">
        <f>IF(AE25&gt;0,AC25,0)</f>
        <v/>
      </c>
      <c r="AG25" s="652"/>
      <c r="AH25" s="669" t="str">
        <f>IF(AE25&lt;&gt;0,IF(AE25&lt;AD25,AE25,IF(E25&gt;0,IF('Loan Entry'!$M25&lt;&gt;0,CUMPRINC(E25/Q25,(O25-T25),AE25,1,T25,0)*-1,),'Loan Entry'!$AC25)),0)</f>
        <v/>
      </c>
      <c r="AI25" s="669">
        <f>IF(M25&gt;0,AE25-AH25,0)</f>
        <v>0</v>
      </c>
    </row>
    <row r="26" spans="1:35" ht="24.95" customHeight="1" x14ac:dyDescent="0.2">
      <c r="A26" s="460" t="str">
        <f>IF('Loan Entry'!$M26&gt;0,DATE((G26+1),1,1),"")</f>
        <v/>
      </c>
      <c r="B26" s="337"/>
      <c r="C26" s="338"/>
      <c r="D26" s="338"/>
      <c r="E26" s="939"/>
      <c r="F26" s="339"/>
      <c r="G26" s="340"/>
      <c r="H26" s="450" t="str">
        <f>IF(I26&gt;0,ROUNDDOWN(Year+I26,0),"")</f>
        <v/>
      </c>
      <c r="I26" s="340"/>
      <c r="J26" s="340"/>
      <c r="K26" s="450" t="e">
        <f>IF(H26&gt;0,IF(H26-Year=0,"yes","no"),"")</f>
        <v>#VALUE!</v>
      </c>
      <c r="L26" s="450" t="str">
        <f>IF('Loan Entry'!$J26&gt;0,DATE(G26,INDEX(Inputs!$C$4:$D$15,MATCH(J26,Months,0),2),1),"")</f>
        <v/>
      </c>
      <c r="M26" s="340"/>
      <c r="N26" s="450" t="str">
        <f>IF(M26&lt;&gt;0,IF(AND(K26="yes",M26="Monthly")=TRUE,CHOOSE(R26,"January","February","March","April","May","June","July","August","September","October","November","December"),RIGHT(AB26,3)),"")</f>
        <v/>
      </c>
      <c r="O26" s="581" t="str">
        <f>IF('Loan Entry'!$M26&gt;0,'Loan Entry'!$I26*'Loan Entry'!$Q26,"")</f>
        <v/>
      </c>
      <c r="P26" s="581" t="str">
        <f>IF(M26&gt;0,(H26-(G26-1))*IF(M26="Monthly",12,IF(M26="Quarterly",4,IF(M26="Semi-Annual",2,1))),"")</f>
        <v/>
      </c>
      <c r="Q26" s="581" t="str">
        <f>IF(M26&gt;0,IF(M26="Monthly",12,IF(M26="Quarterly",4,IF(M26="Semi-Annual",2,1))),"")</f>
        <v/>
      </c>
      <c r="R26" s="581" t="str">
        <f>IF(M26&gt;0,IF(I26&lt;1,IF(M26="Annual",1,(YEARFRAC(L26,A26,))*IF(M26="Monthly",O26,IF(M26="quarterly",O26*3,IF(M26="semi-annual",O26*2,12)))),IF(M26="Annual",1,(YEARFRAC(L26,A26,))*12)),"")</f>
        <v/>
      </c>
      <c r="S26" s="581">
        <f>IF(M26&gt;0,INDEX(Inputs!$J$26:$K$37,MATCH('Loan Entry'!N26,Inputs!$J$26:$J$37,0),2)/12,0)</f>
        <v>0</v>
      </c>
      <c r="T26" s="581" t="str">
        <f>IF(M26&lt;&gt;0,IF(R26&gt;12,12,ROUNDUP(IF(M26="Monthly",12*(R26/Q26),IF(M26="Quarterly",((R26/12)*Q26),IF(M26="Semi-Annual",IF(((R26/12)*Q26)&gt;1,2,1),1))),0)),"")</f>
        <v/>
      </c>
      <c r="U26" s="581" t="str">
        <f>IF(M26&gt;0,T26/Q26,"")</f>
        <v/>
      </c>
      <c r="V26" s="581" t="str">
        <f>IF('Loan Entry'!$M26&gt;0,IF(U26=1,X26/T26,(X26/T26)),"")</f>
        <v/>
      </c>
      <c r="W26" s="581" t="str">
        <f>IF('Loan Entry'!$M26&gt;0,IF(U26=1,Y26/T26,U26*(Y26/T26)),"")</f>
        <v/>
      </c>
      <c r="X26" s="581" t="str">
        <f>IF(E26&gt;0,IF('Loan Entry'!$M26&lt;&gt;0,CUMPRINC((365/360)*E26/Q26,O26,F26,1,T26,0)*-1,),'Loan Entry'!$AC26)</f>
        <v/>
      </c>
      <c r="Y26" s="581">
        <f>IF(E26&gt;0,IF('Loan Entry'!$M26&lt;&gt;0,CUMIPMT(((365/360)*E26)/Q26,O26,F26,1,T26,0)*-1,),0)</f>
        <v>0</v>
      </c>
      <c r="Z26" s="581">
        <f>IF(ISERROR(S26*IF(E26&gt;0,IF('Loan Entry'!$M26&lt;&gt;0,CUMIPMT(((365/360)*E26)/Q26,O26,F26,1,T26,0)*-1,),0))=FALSE,S26*IF(E26&gt;0,IF('Loan Entry'!$M26&lt;&gt;0,CUMIPMT(((365/360)*E26)/Q26,O26,F26,1,T26,0)*-1,),0),0)</f>
        <v>0</v>
      </c>
      <c r="AA26" s="581">
        <f>IF(ISERROR(S26*IF(E26&gt;0,IF('Loan Entry'!$M26&lt;&gt;0,CUMIPMT(((365/360)*E26)/Q26,O26-T26,F26,1+T26,T26+T26,0)*-1,),0))=FALSE,S26*IF(E26&gt;0,IF('Loan Entry'!$M26&lt;&gt;0,CUMIPMT(((365/360)*E26)/Q26,O26-T26,F26,1+T26,T26+T26,0)*-1,),0),0)</f>
        <v>0</v>
      </c>
      <c r="AB26" s="581" t="str">
        <f>IF(M26&lt;&gt;0,IF(K26="no",IF(M26="annual",INDEX(Inputs!$C$4:$E$15,MATCH('Loan Entry'!J26,Months,0),3),IF(M26="semi-annual",IF(T26=2,CONCATENATE(INDEX(Inputs!$C$4:$E$15,MATCH('Loan Entry'!J26,Months,0),3),",",INDEX(Inputs!$C$4:$E$15,MATCH(MONTH(L26+190),Inputs!$D$4:$D$15,0),3)),INDEX(Inputs!$C$4:$E$15,MATCH('Loan Entry'!J26,Months,0),3)),IF(M26="Quarterly",IF(T26=4,CONCATENATE(INDEX(Inputs!$C$4:$E$15,MATCH('Loan Entry'!J26,Months,0),3),",",INDEX(Inputs!$C$4:$E$15,MATCH(MONTH(L26+95),Inputs!$D$4:$D$15,0),3),",",INDEX(Inputs!$C$4:$E$15,MATCH(MONTH(L26+190),Inputs!$D$4:$D$15,0),3),",",INDEX(Inputs!$C$4:$E$15,MATCH(MONTH(L26+275),Inputs!$D$4:$D$15,0),3)),IF(T26=3,CONCATENATE(INDEX(Inputs!$C$4:$E$15,MATCH('Loan Entry'!J26,Months,0),3),",",INDEX(Inputs!$C$4:$E$15,MATCH(MONTH(L26+95),Inputs!$D$4:$D$15,0),3),",",INDEX(Inputs!$C$4:$E$15,MATCH(MONTH(L26+190),Inputs!$D$4:$D$15,0),3)),IF(T26=2,CONCATENATE(INDEX(Inputs!$C$4:$E$15,MATCH('Loan Entry'!J26,Months,0),3),",",INDEX(Inputs!$C$4:$E$15,MATCH(MONTH(L26+95),Inputs!$D$4:$D$15,0),3)),INDEX(Inputs!$C$4:$E$15,MATCH('Loan Entry'!J26,Months,0),3)))),INDEX(Inputs!$C$4:$F$15,MATCH('Loan Entry'!J26,Months,0),4)))),IF(M26="annual",INDEX(Inputs!$C$4:$E$15,MATCH('Loan Entry'!J26,Months,0),3),IF(M26="semi-annual",IF(T26=2,CONCATENATE(INDEX(Inputs!$C$4:$E$15,MATCH('Loan Entry'!J26,Months,0),3),",",INDEX(Inputs!$C$4:$E$15,MATCH(MONTH(L26+190),Inputs!$D$4:$D$15,0),3)),INDEX(Inputs!$C$4:$E$15,MATCH('Loan Entry'!J26,Months,0),3)),IF(M26="Quarterly",IF(T26=4,CONCATENATE(INDEX(Inputs!$C$4:$E$15,MATCH('Loan Entry'!J26,Months,0),3),",",INDEX(Inputs!$C$4:$E$15,MATCH(MONTH(L26+95),Inputs!$D$4:$D$15,0),3),",",INDEX(Inputs!$C$4:$E$15,MATCH(MONTH(L26+190),Inputs!$D$4:$D$15,0),3),",",INDEX(Inputs!$C$4:$E$15,MATCH(MONTH(L26+275),Inputs!$D$4:$D$15,0),3)),IF(T26=3,CONCATENATE(INDEX(Inputs!$C$4:$E$15,MATCH('Loan Entry'!J26,Months,0),3),",",INDEX(Inputs!$C$4:$E$15,MATCH(MONTH(L26+95),Inputs!$D$4:$D$15,0),3),",",INDEX(Inputs!$C$4:$E$15,MATCH(MONTH(L26+190),Inputs!$D$4:$D$15,0),3)),IF(T26=2,CONCATENATE(INDEX(Inputs!$C$4:$E$15,MATCH('Loan Entry'!J26,Months,0),3),",",INDEX(Inputs!$C$4:$E$15,MATCH(MONTH(L26+95),Inputs!$D$4:$D$15,0),3)),INDEX(Inputs!$C$4:$G$15,MATCH('Loan Entry'!J26,Months,0),3)))),INDEX(Inputs!$C$4:$G$15,MATCH('Loan Entry'!N26,Months,0),5))))),"")</f>
        <v/>
      </c>
      <c r="AC26" s="925" t="str">
        <f>IF('Loan Entry'!$M26&gt;0,PMT((365/360)*'Loan Entry'!$E26/'Loan Entry'!$Q26,'Loan Entry'!$O26,'Loan Entry'!$F26*-1)*MIN('Loan Entry'!$Q26,O26),"")</f>
        <v/>
      </c>
      <c r="AD26" s="926" t="str">
        <f>IF(F26&gt;0,IF('Loan Entry'!$M26&lt;&gt;0,IF(U26=1,X26,IF(E26=0,U26*X26,X26)),'Loan Entry'!$AC26),"")</f>
        <v/>
      </c>
      <c r="AE26" s="930" t="str">
        <f>IF('Loan Entry'!$M26&gt;0,'Loan Entry'!$F26-'Loan Entry'!$AD26,"")</f>
        <v/>
      </c>
      <c r="AF26" s="651" t="str">
        <f>IF(AE26&gt;0,AC26,0)</f>
        <v/>
      </c>
      <c r="AG26" s="651"/>
      <c r="AH26" s="667" t="str">
        <f>IF(AE26&lt;&gt;0,IF(AE26&lt;AD26,AE26,IF(E26&gt;0,IF('Loan Entry'!$M26&lt;&gt;0,CUMPRINC(E26/Q26,(O26-T26),AE26,1,T26,0)*-1,),'Loan Entry'!$AC26)),0)</f>
        <v/>
      </c>
      <c r="AI26" s="667">
        <f>IF(M26&gt;0,AE26-AH26,0)</f>
        <v>0</v>
      </c>
    </row>
    <row r="27" spans="1:35" ht="24.95" customHeight="1" x14ac:dyDescent="0.2">
      <c r="B27" s="952" t="str">
        <f>CONCATENATE("Sub-Total ",B21)</f>
        <v>Sub-Total Livestock Loans</v>
      </c>
      <c r="C27" s="952"/>
      <c r="D27" s="952"/>
      <c r="E27" s="952"/>
      <c r="F27" s="952"/>
      <c r="G27" s="952"/>
      <c r="H27" s="952"/>
      <c r="I27" s="952"/>
      <c r="J27" s="952"/>
      <c r="K27" s="952"/>
      <c r="L27" s="952"/>
      <c r="M27" s="952"/>
      <c r="N27" s="952"/>
      <c r="O27" s="952"/>
      <c r="P27" s="952"/>
      <c r="Q27" s="952"/>
      <c r="R27" s="952"/>
      <c r="S27" s="952"/>
      <c r="T27" s="952"/>
      <c r="U27" s="952"/>
      <c r="V27" s="952"/>
      <c r="W27" s="952"/>
      <c r="X27" s="952"/>
      <c r="Y27" s="952"/>
      <c r="Z27" s="952"/>
      <c r="AA27" s="952"/>
      <c r="AB27" s="952"/>
      <c r="AC27" s="952"/>
      <c r="AD27" s="279">
        <f>SUM('Loan Entry'!$AD$23:$AD$26)</f>
        <v>0</v>
      </c>
      <c r="AE27" s="279">
        <f>SUM('Loan Entry'!$AE$23:$AE$26)</f>
        <v>0</v>
      </c>
      <c r="AH27" s="667">
        <f>SUM(AH23:AH26)</f>
        <v>0</v>
      </c>
      <c r="AI27" s="667">
        <f>SUM(AI23:AI26)</f>
        <v>0</v>
      </c>
    </row>
    <row r="28" spans="1:35" ht="24.95" customHeight="1" x14ac:dyDescent="0.2">
      <c r="AH28" s="667"/>
      <c r="AI28" s="667"/>
    </row>
    <row r="29" spans="1:35" ht="24.95" customHeight="1" x14ac:dyDescent="0.2">
      <c r="B29" s="954" t="s">
        <v>22</v>
      </c>
      <c r="C29" s="954"/>
      <c r="D29" s="954"/>
      <c r="E29" s="954"/>
      <c r="F29" s="954"/>
      <c r="G29" s="954"/>
      <c r="H29" s="954"/>
      <c r="I29" s="954"/>
      <c r="J29" s="954"/>
      <c r="K29" s="954"/>
      <c r="L29" s="954"/>
      <c r="M29" s="954"/>
      <c r="N29" s="954"/>
      <c r="O29" s="954"/>
      <c r="P29" s="954"/>
      <c r="Q29" s="954"/>
      <c r="R29" s="954"/>
      <c r="S29" s="954"/>
      <c r="T29" s="954"/>
      <c r="U29" s="954"/>
      <c r="V29" s="954"/>
      <c r="W29" s="954"/>
      <c r="X29" s="954"/>
      <c r="Y29" s="954"/>
      <c r="Z29" s="954"/>
      <c r="AA29" s="954"/>
      <c r="AB29" s="954"/>
      <c r="AC29" s="954"/>
      <c r="AD29" s="954"/>
      <c r="AE29" s="954"/>
      <c r="AH29" s="667"/>
      <c r="AI29" s="667"/>
    </row>
    <row r="30" spans="1:35" ht="24.95" customHeight="1" thickBot="1" x14ac:dyDescent="0.25">
      <c r="B30" s="482" t="s">
        <v>91</v>
      </c>
      <c r="C30" s="483" t="s">
        <v>92</v>
      </c>
      <c r="D30" s="479" t="s">
        <v>176</v>
      </c>
      <c r="E30" s="484" t="s">
        <v>93</v>
      </c>
      <c r="F30" s="480" t="s">
        <v>115</v>
      </c>
      <c r="G30" s="480" t="s">
        <v>97</v>
      </c>
      <c r="H30" s="480" t="s">
        <v>231</v>
      </c>
      <c r="I30" s="485" t="s">
        <v>104</v>
      </c>
      <c r="J30" s="485" t="s">
        <v>182</v>
      </c>
      <c r="K30" s="570" t="s">
        <v>233</v>
      </c>
      <c r="L30" s="570" t="s">
        <v>236</v>
      </c>
      <c r="M30" s="480" t="s">
        <v>98</v>
      </c>
      <c r="N30" s="571" t="s">
        <v>234</v>
      </c>
      <c r="O30" s="571" t="s">
        <v>235</v>
      </c>
      <c r="P30" s="571" t="s">
        <v>232</v>
      </c>
      <c r="Q30" s="571" t="s">
        <v>107</v>
      </c>
      <c r="R30" s="571" t="s">
        <v>185</v>
      </c>
      <c r="S30" s="571" t="s">
        <v>438</v>
      </c>
      <c r="T30" s="571" t="s">
        <v>199</v>
      </c>
      <c r="U30" s="571" t="s">
        <v>205</v>
      </c>
      <c r="V30" s="571" t="s">
        <v>183</v>
      </c>
      <c r="W30" s="571" t="s">
        <v>184</v>
      </c>
      <c r="X30" s="571" t="s">
        <v>197</v>
      </c>
      <c r="Y30" s="571" t="s">
        <v>198</v>
      </c>
      <c r="Z30" s="571" t="s">
        <v>435</v>
      </c>
      <c r="AA30" s="571" t="s">
        <v>434</v>
      </c>
      <c r="AB30" s="571" t="s">
        <v>106</v>
      </c>
      <c r="AC30" s="485" t="s">
        <v>94</v>
      </c>
      <c r="AD30" s="485" t="s">
        <v>95</v>
      </c>
      <c r="AE30" s="485" t="s">
        <v>96</v>
      </c>
      <c r="AH30" s="667"/>
      <c r="AI30" s="667"/>
    </row>
    <row r="31" spans="1:35" s="94" customFormat="1" ht="24.95" customHeight="1" thickTop="1" x14ac:dyDescent="0.2">
      <c r="A31" s="460" t="str">
        <f>IF('Loan Entry'!$M31&gt;0,DATE((G31+1),1,1),"")</f>
        <v/>
      </c>
      <c r="B31" s="333"/>
      <c r="C31" s="334"/>
      <c r="D31" s="334"/>
      <c r="E31" s="938"/>
      <c r="F31" s="335"/>
      <c r="G31" s="336"/>
      <c r="H31" s="449" t="str">
        <f>IF(I31&gt;0,ROUNDDOWN(Year+I31,0),"")</f>
        <v/>
      </c>
      <c r="I31" s="336"/>
      <c r="J31" s="336"/>
      <c r="K31" s="449" t="e">
        <f>IF(H31&gt;0,IF(H31-Year=0,"yes","no"),"")</f>
        <v>#VALUE!</v>
      </c>
      <c r="L31" s="449" t="str">
        <f>IF('Loan Entry'!$J31&gt;0,DATE(G31,INDEX(Inputs!$C$4:$D$15,MATCH(J31,Months,0),2),1),"")</f>
        <v/>
      </c>
      <c r="M31" s="336"/>
      <c r="N31" s="449" t="str">
        <f>IF(M31&lt;&gt;0,IF(AND(K31="yes",M31="Monthly")=TRUE,CHOOSE(R31,"January","February","March","April","May","June","July","August","September","October","November","December"),RIGHT(AB31,3)),"")</f>
        <v/>
      </c>
      <c r="O31" s="449" t="str">
        <f>IF('Loan Entry'!$M31&gt;0,'Loan Entry'!$I31*'Loan Entry'!$Q31,"")</f>
        <v/>
      </c>
      <c r="P31" s="449" t="str">
        <f>IF(M31&gt;0,(H31-(G31-1))*IF(M31="Monthly",12,IF(M31="Quarterly",4,IF(M31="Semi-Annual",2,1))),"")</f>
        <v/>
      </c>
      <c r="Q31" s="449" t="str">
        <f>IF(M31&gt;0,IF(M31="Monthly",12,IF(M31="Quarterly",4,IF(M31="Semi-Annual",2,1))),"")</f>
        <v/>
      </c>
      <c r="R31" s="449" t="str">
        <f>IF(M31&gt;0,IF(I31&lt;1,IF(M31="Annual",1,(YEARFRAC(L31,A31,))*IF(M31="Monthly",O31,IF(M31="quarterly",O31*3,IF(M31="semi-annual",O31*2,12)))),IF(M31="Annual",1,(YEARFRAC(L31,A31,))*12)),"")</f>
        <v/>
      </c>
      <c r="S31" s="449">
        <f>IF(M31&gt;0,INDEX(Inputs!$J$26:$K$37,MATCH('Loan Entry'!N31,Inputs!$J$26:$J$37,0),2)/12,0)</f>
        <v>0</v>
      </c>
      <c r="T31" s="449" t="str">
        <f>IF(M31&lt;&gt;0,IF(R31&gt;12,12,ROUNDUP(IF(M31="Monthly",12*(R31/Q31),IF(M31="Quarterly",((R31/12)*Q31),IF(M31="Semi-Annual",IF(((R31/12)*Q31)&gt;1,2,1),1))),0)),"")</f>
        <v/>
      </c>
      <c r="U31" s="449" t="str">
        <f>IF(M31&gt;0,T31/Q31,"")</f>
        <v/>
      </c>
      <c r="V31" s="449" t="str">
        <f>IF('Loan Entry'!$M31&gt;0,IF(U31=1,X31/T31,(X31/T31)),"")</f>
        <v/>
      </c>
      <c r="W31" s="449" t="str">
        <f>IF('Loan Entry'!$M31&gt;0,IF(U31=1,Y31/T31,U31*(Y31/T31)),"")</f>
        <v/>
      </c>
      <c r="X31" s="449" t="str">
        <f>IF(E31&gt;0,IF('Loan Entry'!$M31&lt;&gt;0,CUMPRINC((365/360)*E31/Q31,O31,F31,1,T31,0)*-1,),'Loan Entry'!$AC31)</f>
        <v/>
      </c>
      <c r="Y31" s="449">
        <f>IF(E31&gt;0,IF('Loan Entry'!$M31&lt;&gt;0,CUMIPMT(((365/360)*E31)/Q31,O31,F31,1,T31,0)*-1,),0)</f>
        <v>0</v>
      </c>
      <c r="Z31" s="449">
        <f>IF(ISERROR(S31*IF(E31&gt;0,IF('Loan Entry'!$M31&lt;&gt;0,CUMIPMT(((365/360)*E31)/Q31,O31,F31,1,T31,0)*-1,),0))=FALSE,S31*IF(E31&gt;0,IF('Loan Entry'!$M31&lt;&gt;0,CUMIPMT(((365/360)*E31)/Q31,O31,F31,1,T31,0)*-1,),0),0)</f>
        <v>0</v>
      </c>
      <c r="AA31" s="449">
        <f>IF(ISERROR(S31*IF(E31&gt;0,IF('Loan Entry'!$M31&lt;&gt;0,CUMIPMT(((365/360)*E31)/Q31,O31-T31,F31,1+T31,T31+T31,0)*-1,),0))=FALSE,S31*IF(E31&gt;0,IF('Loan Entry'!$M31&lt;&gt;0,CUMIPMT(((365/360)*E31)/Q31,O31-T31,F31,1+T31,T31+T31,0)*-1,),0),0)</f>
        <v>0</v>
      </c>
      <c r="AB31" s="449" t="str">
        <f>IF(M31&lt;&gt;0,IF(K31="no",IF(M31="annual",INDEX(Inputs!$C$4:$E$15,MATCH('Loan Entry'!J31,Months,0),3),IF(M31="semi-annual",IF(T31=2,CONCATENATE(INDEX(Inputs!$C$4:$E$15,MATCH('Loan Entry'!J31,Months,0),3),",",INDEX(Inputs!$C$4:$E$15,MATCH(MONTH(L31+190),Inputs!$D$4:$D$15,0),3)),INDEX(Inputs!$C$4:$E$15,MATCH('Loan Entry'!J31,Months,0),3)),IF(M31="Quarterly",IF(T31=4,CONCATENATE(INDEX(Inputs!$C$4:$E$15,MATCH('Loan Entry'!J31,Months,0),3),",",INDEX(Inputs!$C$4:$E$15,MATCH(MONTH(L31+95),Inputs!$D$4:$D$15,0),3),",",INDEX(Inputs!$C$4:$E$15,MATCH(MONTH(L31+190),Inputs!$D$4:$D$15,0),3),",",INDEX(Inputs!$C$4:$E$15,MATCH(MONTH(L31+275),Inputs!$D$4:$D$15,0),3)),IF(T31=3,CONCATENATE(INDEX(Inputs!$C$4:$E$15,MATCH('Loan Entry'!J31,Months,0),3),",",INDEX(Inputs!$C$4:$E$15,MATCH(MONTH(L31+95),Inputs!$D$4:$D$15,0),3),",",INDEX(Inputs!$C$4:$E$15,MATCH(MONTH(L31+190),Inputs!$D$4:$D$15,0),3)),IF(T31=2,CONCATENATE(INDEX(Inputs!$C$4:$E$15,MATCH('Loan Entry'!J31,Months,0),3),",",INDEX(Inputs!$C$4:$E$15,MATCH(MONTH(L31+95),Inputs!$D$4:$D$15,0),3)),INDEX(Inputs!$C$4:$E$15,MATCH('Loan Entry'!J31,Months,0),3)))),INDEX(Inputs!$C$4:$F$15,MATCH('Loan Entry'!J31,Months,0),4)))),IF(M31="annual",INDEX(Inputs!$C$4:$E$15,MATCH('Loan Entry'!J31,Months,0),3),IF(M31="semi-annual",IF(T31=2,CONCATENATE(INDEX(Inputs!$C$4:$E$15,MATCH('Loan Entry'!J31,Months,0),3),",",INDEX(Inputs!$C$4:$E$15,MATCH(MONTH(L31+190),Inputs!$D$4:$D$15,0),3)),INDEX(Inputs!$C$4:$E$15,MATCH('Loan Entry'!J31,Months,0),3)),IF(M31="Quarterly",IF(T31=4,CONCATENATE(INDEX(Inputs!$C$4:$E$15,MATCH('Loan Entry'!J31,Months,0),3),",",INDEX(Inputs!$C$4:$E$15,MATCH(MONTH(L31+95),Inputs!$D$4:$D$15,0),3),",",INDEX(Inputs!$C$4:$E$15,MATCH(MONTH(L31+190),Inputs!$D$4:$D$15,0),3),",",INDEX(Inputs!$C$4:$E$15,MATCH(MONTH(L31+275),Inputs!$D$4:$D$15,0),3)),IF(T31=3,CONCATENATE(INDEX(Inputs!$C$4:$E$15,MATCH('Loan Entry'!J31,Months,0),3),",",INDEX(Inputs!$C$4:$E$15,MATCH(MONTH(L31+95),Inputs!$D$4:$D$15,0),3),",",INDEX(Inputs!$C$4:$E$15,MATCH(MONTH(L31+190),Inputs!$D$4:$D$15,0),3)),IF(T31=2,CONCATENATE(INDEX(Inputs!$C$4:$E$15,MATCH('Loan Entry'!J31,Months,0),3),",",INDEX(Inputs!$C$4:$E$15,MATCH(MONTH(L31+95),Inputs!$D$4:$D$15,0),3)),INDEX(Inputs!$C$4:$G$15,MATCH('Loan Entry'!J31,Months,0),3)))),INDEX(Inputs!$C$4:$G$15,MATCH('Loan Entry'!N31,Months,0),5))))),"")</f>
        <v/>
      </c>
      <c r="AC31" s="923" t="str">
        <f>IF('Loan Entry'!$M31&gt;0,PMT((365/360)*'Loan Entry'!$E31/'Loan Entry'!$Q31,'Loan Entry'!$O31,'Loan Entry'!$F31*-1)*MIN('Loan Entry'!$Q31,O31),"")</f>
        <v/>
      </c>
      <c r="AD31" s="924" t="str">
        <f>IF(F31&gt;0,IF('Loan Entry'!$M31&lt;&gt;0,IF(U31=1,X31,IF(E31=0,U31*X31,X31)),'Loan Entry'!$AC31),"")</f>
        <v/>
      </c>
      <c r="AE31" s="929" t="str">
        <f>IF('Loan Entry'!$M31&gt;0,'Loan Entry'!$F31-'Loan Entry'!$AD31,"")</f>
        <v/>
      </c>
      <c r="AF31" s="652" t="str">
        <f>IF(AE31&gt;0,AC31,0)</f>
        <v/>
      </c>
      <c r="AG31" s="652"/>
      <c r="AH31" s="669" t="str">
        <f>IF(AE31&lt;&gt;0,IF(AE31&lt;AD31,AE31,IF(E31&gt;0,IF('Loan Entry'!$M31&lt;&gt;0,CUMPRINC(E31/Q31,(O31-T31),AE31,1,T31,0)*-1,),'Loan Entry'!$AC31)),0)</f>
        <v/>
      </c>
      <c r="AI31" s="669">
        <f>IF(M31&gt;0,AE31-AH31,0)</f>
        <v>0</v>
      </c>
    </row>
    <row r="32" spans="1:35" ht="24.95" customHeight="1" x14ac:dyDescent="0.2">
      <c r="A32" s="460" t="str">
        <f>IF('Loan Entry'!$M32&gt;0,DATE((G32+1),1,1),"")</f>
        <v/>
      </c>
      <c r="B32" s="337"/>
      <c r="C32" s="338"/>
      <c r="D32" s="338"/>
      <c r="E32" s="939"/>
      <c r="F32" s="339"/>
      <c r="G32" s="340"/>
      <c r="H32" s="450" t="str">
        <f>IF(I32&gt;0,ROUNDDOWN(Year+I32,0),"")</f>
        <v/>
      </c>
      <c r="I32" s="340"/>
      <c r="J32" s="340"/>
      <c r="K32" s="450" t="e">
        <f>IF(H32&gt;0,IF(H32-Year=0,"yes","no"),"")</f>
        <v>#VALUE!</v>
      </c>
      <c r="L32" s="450" t="str">
        <f>IF('Loan Entry'!$J32&gt;0,DATE(G32,INDEX(Inputs!$C$4:$D$15,MATCH(J32,Months,0),2),1),"")</f>
        <v/>
      </c>
      <c r="M32" s="340"/>
      <c r="N32" s="450" t="str">
        <f>IF(M32&lt;&gt;0,IF(AND(K32="yes",M32="Monthly")=TRUE,CHOOSE(R32,"January","February","March","April","May","June","July","August","September","October","November","December"),RIGHT(AB32,3)),"")</f>
        <v/>
      </c>
      <c r="O32" s="581" t="str">
        <f>IF('Loan Entry'!$M32&gt;0,'Loan Entry'!$I32*'Loan Entry'!$Q32,"")</f>
        <v/>
      </c>
      <c r="P32" s="581" t="str">
        <f>IF(M32&gt;0,(H32-(G32-1))*IF(M32="Monthly",12,IF(M32="Quarterly",4,IF(M32="Semi-Annual",2,1))),"")</f>
        <v/>
      </c>
      <c r="Q32" s="581" t="str">
        <f>IF(M32&gt;0,IF(M32="Monthly",12,IF(M32="Quarterly",4,IF(M32="Semi-Annual",2,1))),"")</f>
        <v/>
      </c>
      <c r="R32" s="581" t="str">
        <f>IF(M32&gt;0,IF(I32&lt;1,IF(M32="Annual",1,(YEARFRAC(L32,A32,))*IF(M32="Monthly",O32,IF(M32="quarterly",O32*3,IF(M32="semi-annual",O32*2,12)))),IF(M32="Annual",1,(YEARFRAC(L32,A32,))*12)),"")</f>
        <v/>
      </c>
      <c r="S32" s="581">
        <f>IF(M32&gt;0,INDEX(Inputs!$J$26:$K$37,MATCH('Loan Entry'!N32,Inputs!$J$26:$J$37,0),2)/12,0)</f>
        <v>0</v>
      </c>
      <c r="T32" s="581" t="str">
        <f>IF(M32&lt;&gt;0,IF(R32&gt;12,12,ROUNDUP(IF(M32="Monthly",12*(R32/Q32),IF(M32="Quarterly",((R32/12)*Q32),IF(M32="Semi-Annual",IF(((R32/12)*Q32)&gt;1,2,1),1))),0)),"")</f>
        <v/>
      </c>
      <c r="U32" s="581" t="str">
        <f>IF(M32&gt;0,T32/Q32,"")</f>
        <v/>
      </c>
      <c r="V32" s="581" t="str">
        <f>IF('Loan Entry'!$M32&gt;0,IF(U32=1,X32/T32,(X32/T32)),"")</f>
        <v/>
      </c>
      <c r="W32" s="581" t="str">
        <f>IF('Loan Entry'!$M32&gt;0,IF(U32=1,Y32/T32,U32*(Y32/T32)),"")</f>
        <v/>
      </c>
      <c r="X32" s="581" t="str">
        <f>IF(E32&gt;0,IF('Loan Entry'!$M32&lt;&gt;0,CUMPRINC((365/360)*E32/Q32,O32,F32,1,T32,0)*-1,),'Loan Entry'!$AC32)</f>
        <v/>
      </c>
      <c r="Y32" s="581">
        <f>IF(E32&gt;0,IF('Loan Entry'!$M32&lt;&gt;0,CUMIPMT(((365/360)*E32)/Q32,O32,F32,1,T32,0)*-1,),0)</f>
        <v>0</v>
      </c>
      <c r="Z32" s="581">
        <f>IF(ISERROR(S32*IF(E32&gt;0,IF('Loan Entry'!$M32&lt;&gt;0,CUMIPMT(((365/360)*E32)/Q32,O32,F32,1,T32,0)*-1,),0))=FALSE,S32*IF(E32&gt;0,IF('Loan Entry'!$M32&lt;&gt;0,CUMIPMT(((365/360)*E32)/Q32,O32,F32,1,T32,0)*-1,),0),0)</f>
        <v>0</v>
      </c>
      <c r="AA32" s="581">
        <f>IF(ISERROR(S32*IF(E32&gt;0,IF('Loan Entry'!$M32&lt;&gt;0,CUMIPMT(((365/360)*E32)/Q32,O32-T32,F32,1+T32,T32+T32,0)*-1,),0))=FALSE,S32*IF(E32&gt;0,IF('Loan Entry'!$M32&lt;&gt;0,CUMIPMT(((365/360)*E32)/Q32,O32-T32,F32,1+T32,T32+T32,0)*-1,),0),0)</f>
        <v>0</v>
      </c>
      <c r="AB32" s="581" t="str">
        <f>IF(M32&lt;&gt;0,IF(K32="no",IF(M32="annual",INDEX(Inputs!$C$4:$E$15,MATCH('Loan Entry'!J32,Months,0),3),IF(M32="semi-annual",IF(T32=2,CONCATENATE(INDEX(Inputs!$C$4:$E$15,MATCH('Loan Entry'!J32,Months,0),3),",",INDEX(Inputs!$C$4:$E$15,MATCH(MONTH(L32+190),Inputs!$D$4:$D$15,0),3)),INDEX(Inputs!$C$4:$E$15,MATCH('Loan Entry'!J32,Months,0),3)),IF(M32="Quarterly",IF(T32=4,CONCATENATE(INDEX(Inputs!$C$4:$E$15,MATCH('Loan Entry'!J32,Months,0),3),",",INDEX(Inputs!$C$4:$E$15,MATCH(MONTH(L32+95),Inputs!$D$4:$D$15,0),3),",",INDEX(Inputs!$C$4:$E$15,MATCH(MONTH(L32+190),Inputs!$D$4:$D$15,0),3),",",INDEX(Inputs!$C$4:$E$15,MATCH(MONTH(L32+275),Inputs!$D$4:$D$15,0),3)),IF(T32=3,CONCATENATE(INDEX(Inputs!$C$4:$E$15,MATCH('Loan Entry'!J32,Months,0),3),",",INDEX(Inputs!$C$4:$E$15,MATCH(MONTH(L32+95),Inputs!$D$4:$D$15,0),3),",",INDEX(Inputs!$C$4:$E$15,MATCH(MONTH(L32+190),Inputs!$D$4:$D$15,0),3)),IF(T32=2,CONCATENATE(INDEX(Inputs!$C$4:$E$15,MATCH('Loan Entry'!J32,Months,0),3),",",INDEX(Inputs!$C$4:$E$15,MATCH(MONTH(L32+95),Inputs!$D$4:$D$15,0),3)),INDEX(Inputs!$C$4:$E$15,MATCH('Loan Entry'!J32,Months,0),3)))),INDEX(Inputs!$C$4:$F$15,MATCH('Loan Entry'!J32,Months,0),4)))),IF(M32="annual",INDEX(Inputs!$C$4:$E$15,MATCH('Loan Entry'!J32,Months,0),3),IF(M32="semi-annual",IF(T32=2,CONCATENATE(INDEX(Inputs!$C$4:$E$15,MATCH('Loan Entry'!J32,Months,0),3),",",INDEX(Inputs!$C$4:$E$15,MATCH(MONTH(L32+190),Inputs!$D$4:$D$15,0),3)),INDEX(Inputs!$C$4:$E$15,MATCH('Loan Entry'!J32,Months,0),3)),IF(M32="Quarterly",IF(T32=4,CONCATENATE(INDEX(Inputs!$C$4:$E$15,MATCH('Loan Entry'!J32,Months,0),3),",",INDEX(Inputs!$C$4:$E$15,MATCH(MONTH(L32+95),Inputs!$D$4:$D$15,0),3),",",INDEX(Inputs!$C$4:$E$15,MATCH(MONTH(L32+190),Inputs!$D$4:$D$15,0),3),",",INDEX(Inputs!$C$4:$E$15,MATCH(MONTH(L32+275),Inputs!$D$4:$D$15,0),3)),IF(T32=3,CONCATENATE(INDEX(Inputs!$C$4:$E$15,MATCH('Loan Entry'!J32,Months,0),3),",",INDEX(Inputs!$C$4:$E$15,MATCH(MONTH(L32+95),Inputs!$D$4:$D$15,0),3),",",INDEX(Inputs!$C$4:$E$15,MATCH(MONTH(L32+190),Inputs!$D$4:$D$15,0),3)),IF(T32=2,CONCATENATE(INDEX(Inputs!$C$4:$E$15,MATCH('Loan Entry'!J32,Months,0),3),",",INDEX(Inputs!$C$4:$E$15,MATCH(MONTH(L32+95),Inputs!$D$4:$D$15,0),3)),INDEX(Inputs!$C$4:$G$15,MATCH('Loan Entry'!J32,Months,0),3)))),INDEX(Inputs!$C$4:$G$15,MATCH('Loan Entry'!N32,Months,0),5))))),"")</f>
        <v/>
      </c>
      <c r="AC32" s="925" t="str">
        <f>IF('Loan Entry'!$M32&gt;0,PMT((365/360)*'Loan Entry'!$E32/'Loan Entry'!$Q32,'Loan Entry'!$O32,'Loan Entry'!$F32*-1)*MIN('Loan Entry'!$Q32,O32),"")</f>
        <v/>
      </c>
      <c r="AD32" s="926" t="str">
        <f>IF(F32&gt;0,IF('Loan Entry'!$M32&lt;&gt;0,IF(U32=1,X32,IF(E32=0,U32*X32,X32)),'Loan Entry'!$AC32),"")</f>
        <v/>
      </c>
      <c r="AE32" s="930" t="str">
        <f>IF('Loan Entry'!$M32&gt;0,'Loan Entry'!$F32-'Loan Entry'!$AD32,"")</f>
        <v/>
      </c>
      <c r="AF32" s="651" t="str">
        <f>IF(AE32&gt;0,AC32,0)</f>
        <v/>
      </c>
      <c r="AG32" s="651"/>
      <c r="AH32" s="667" t="str">
        <f>IF(AE32&lt;&gt;0,IF(AE32&lt;AD32,AE32,IF(E32&gt;0,IF('Loan Entry'!$M32&lt;&gt;0,CUMPRINC(E32/Q32,(O32-T32),AE32,1,T32,0)*-1,),'Loan Entry'!$AC32)),0)</f>
        <v/>
      </c>
      <c r="AI32" s="667">
        <f>IF(M32&gt;0,AE32-AH32,0)</f>
        <v>0</v>
      </c>
    </row>
    <row r="33" spans="1:35" ht="24.95" customHeight="1" x14ac:dyDescent="0.2">
      <c r="A33" s="460" t="str">
        <f>IF('Loan Entry'!$M33&gt;0,DATE((G33+1),1,1),"")</f>
        <v/>
      </c>
      <c r="B33" s="341"/>
      <c r="C33" s="342"/>
      <c r="D33" s="342"/>
      <c r="E33" s="940"/>
      <c r="F33" s="343"/>
      <c r="G33" s="344"/>
      <c r="H33" s="451" t="str">
        <f>IF(I33&gt;0,ROUNDDOWN(Year+I33,0),"")</f>
        <v/>
      </c>
      <c r="I33" s="344"/>
      <c r="J33" s="344"/>
      <c r="K33" s="451" t="e">
        <f>IF(H33&gt;0,IF(H33-Year=0,"yes","no"),"")</f>
        <v>#VALUE!</v>
      </c>
      <c r="L33" s="451" t="str">
        <f>IF('Loan Entry'!$J33&gt;0,DATE(G33,INDEX(Inputs!$C$4:$D$15,MATCH(J33,Months,0),2),1),"")</f>
        <v/>
      </c>
      <c r="M33" s="344"/>
      <c r="N33" s="451" t="str">
        <f>IF(M33&lt;&gt;0,IF(AND(K33="yes",M33="Monthly")=TRUE,CHOOSE(R33,"January","February","March","April","May","June","July","August","September","October","November","December"),RIGHT(AB33,3)),"")</f>
        <v/>
      </c>
      <c r="O33" s="583" t="str">
        <f>IF('Loan Entry'!$M33&gt;0,'Loan Entry'!$I33*'Loan Entry'!$Q33,"")</f>
        <v/>
      </c>
      <c r="P33" s="583" t="str">
        <f>IF(M33&gt;0,(H33-(G33-1))*IF(M33="Monthly",12,IF(M33="Quarterly",4,IF(M33="Semi-Annual",2,1))),"")</f>
        <v/>
      </c>
      <c r="Q33" s="583" t="str">
        <f>IF(M33&gt;0,IF(M33="Monthly",12,IF(M33="Quarterly",4,IF(M33="Semi-Annual",2,1))),"")</f>
        <v/>
      </c>
      <c r="R33" s="583" t="str">
        <f>IF(M33&gt;0,IF(I33&lt;1,IF(M33="Annual",1,(YEARFRAC(L33,A33,))*IF(M33="Monthly",O33,IF(M33="quarterly",O33*3,IF(M33="semi-annual",O33*2,12)))),IF(M33="Annual",1,(YEARFRAC(L33,A33,))*12)),"")</f>
        <v/>
      </c>
      <c r="S33" s="583">
        <f>IF(M33&gt;0,INDEX(Inputs!$J$26:$K$37,MATCH('Loan Entry'!N33,Inputs!$J$26:$J$37,0),2)/12,0)</f>
        <v>0</v>
      </c>
      <c r="T33" s="583" t="str">
        <f>IF(M33&lt;&gt;0,IF(R33&gt;12,12,ROUNDUP(IF(M33="Monthly",12*(R33/Q33),IF(M33="Quarterly",((R33/12)*Q33),IF(M33="Semi-Annual",IF(((R33/12)*Q33)&gt;1,2,1),1))),0)),"")</f>
        <v/>
      </c>
      <c r="U33" s="583" t="str">
        <f>IF(M33&gt;0,T33/Q33,"")</f>
        <v/>
      </c>
      <c r="V33" s="583" t="str">
        <f>IF('Loan Entry'!$M33&gt;0,IF(U33=1,X33/T33,(X33/T33)),"")</f>
        <v/>
      </c>
      <c r="W33" s="583" t="str">
        <f>IF('Loan Entry'!$M33&gt;0,IF(U33=1,Y33/T33,U33*(Y33/T33)),"")</f>
        <v/>
      </c>
      <c r="X33" s="583" t="str">
        <f>IF(E33&gt;0,IF('Loan Entry'!$M33&lt;&gt;0,CUMPRINC((365/360)*E33/Q33,O33,F33,1,T33,0)*-1,),'Loan Entry'!$AC33)</f>
        <v/>
      </c>
      <c r="Y33" s="583">
        <f>IF(E33&gt;0,IF('Loan Entry'!$M33&lt;&gt;0,CUMIPMT(((365/360)*E33)/Q33,O33,F33,1,T33,0)*-1,),0)</f>
        <v>0</v>
      </c>
      <c r="Z33" s="583">
        <f>IF(ISERROR(S33*IF(E33&gt;0,IF('Loan Entry'!$M33&lt;&gt;0,CUMIPMT(((365/360)*E33)/Q33,O33,F33,1,T33,0)*-1,),0))=FALSE,S33*IF(E33&gt;0,IF('Loan Entry'!$M33&lt;&gt;0,CUMIPMT(((365/360)*E33)/Q33,O33,F33,1,T33,0)*-1,),0),0)</f>
        <v>0</v>
      </c>
      <c r="AA33" s="583">
        <f>IF(ISERROR(S33*IF(E33&gt;0,IF('Loan Entry'!$M33&lt;&gt;0,CUMIPMT(((365/360)*E33)/Q33,O33-T33,F33,1+T33,T33+T33,0)*-1,),0))=FALSE,S33*IF(E33&gt;0,IF('Loan Entry'!$M33&lt;&gt;0,CUMIPMT(((365/360)*E33)/Q33,O33-T33,F33,1+T33,T33+T33,0)*-1,),0),0)</f>
        <v>0</v>
      </c>
      <c r="AB33" s="583" t="str">
        <f>IF(M33&lt;&gt;0,IF(K33="no",IF(M33="annual",INDEX(Inputs!$C$4:$E$15,MATCH('Loan Entry'!J33,Months,0),3),IF(M33="semi-annual",IF(T33=2,CONCATENATE(INDEX(Inputs!$C$4:$E$15,MATCH('Loan Entry'!J33,Months,0),3),",",INDEX(Inputs!$C$4:$E$15,MATCH(MONTH(L33+190),Inputs!$D$4:$D$15,0),3)),INDEX(Inputs!$C$4:$E$15,MATCH('Loan Entry'!J33,Months,0),3)),IF(M33="Quarterly",IF(T33=4,CONCATENATE(INDEX(Inputs!$C$4:$E$15,MATCH('Loan Entry'!J33,Months,0),3),",",INDEX(Inputs!$C$4:$E$15,MATCH(MONTH(L33+95),Inputs!$D$4:$D$15,0),3),",",INDEX(Inputs!$C$4:$E$15,MATCH(MONTH(L33+190),Inputs!$D$4:$D$15,0),3),",",INDEX(Inputs!$C$4:$E$15,MATCH(MONTH(L33+275),Inputs!$D$4:$D$15,0),3)),IF(T33=3,CONCATENATE(INDEX(Inputs!$C$4:$E$15,MATCH('Loan Entry'!J33,Months,0),3),",",INDEX(Inputs!$C$4:$E$15,MATCH(MONTH(L33+95),Inputs!$D$4:$D$15,0),3),",",INDEX(Inputs!$C$4:$E$15,MATCH(MONTH(L33+190),Inputs!$D$4:$D$15,0),3)),IF(T33=2,CONCATENATE(INDEX(Inputs!$C$4:$E$15,MATCH('Loan Entry'!J33,Months,0),3),",",INDEX(Inputs!$C$4:$E$15,MATCH(MONTH(L33+95),Inputs!$D$4:$D$15,0),3)),INDEX(Inputs!$C$4:$E$15,MATCH('Loan Entry'!J33,Months,0),3)))),INDEX(Inputs!$C$4:$F$15,MATCH('Loan Entry'!J33,Months,0),4)))),IF(M33="annual",INDEX(Inputs!$C$4:$E$15,MATCH('Loan Entry'!J33,Months,0),3),IF(M33="semi-annual",IF(T33=2,CONCATENATE(INDEX(Inputs!$C$4:$E$15,MATCH('Loan Entry'!J33,Months,0),3),",",INDEX(Inputs!$C$4:$E$15,MATCH(MONTH(L33+190),Inputs!$D$4:$D$15,0),3)),INDEX(Inputs!$C$4:$E$15,MATCH('Loan Entry'!J33,Months,0),3)),IF(M33="Quarterly",IF(T33=4,CONCATENATE(INDEX(Inputs!$C$4:$E$15,MATCH('Loan Entry'!J33,Months,0),3),",",INDEX(Inputs!$C$4:$E$15,MATCH(MONTH(L33+95),Inputs!$D$4:$D$15,0),3),",",INDEX(Inputs!$C$4:$E$15,MATCH(MONTH(L33+190),Inputs!$D$4:$D$15,0),3),",",INDEX(Inputs!$C$4:$E$15,MATCH(MONTH(L33+275),Inputs!$D$4:$D$15,0),3)),IF(T33=3,CONCATENATE(INDEX(Inputs!$C$4:$E$15,MATCH('Loan Entry'!J33,Months,0),3),",",INDEX(Inputs!$C$4:$E$15,MATCH(MONTH(L33+95),Inputs!$D$4:$D$15,0),3),",",INDEX(Inputs!$C$4:$E$15,MATCH(MONTH(L33+190),Inputs!$D$4:$D$15,0),3)),IF(T33=2,CONCATENATE(INDEX(Inputs!$C$4:$E$15,MATCH('Loan Entry'!J33,Months,0),3),",",INDEX(Inputs!$C$4:$E$15,MATCH(MONTH(L33+95),Inputs!$D$4:$D$15,0),3)),INDEX(Inputs!$C$4:$G$15,MATCH('Loan Entry'!J33,Months,0),3)))),INDEX(Inputs!$C$4:$G$15,MATCH('Loan Entry'!N33,Months,0),5))))),"")</f>
        <v/>
      </c>
      <c r="AC33" s="927" t="str">
        <f>IF('Loan Entry'!$M33&gt;0,PMT((365/360)*'Loan Entry'!$E33/'Loan Entry'!$Q33,'Loan Entry'!$O33,'Loan Entry'!$F33*-1)*MIN('Loan Entry'!$Q33,O33),"")</f>
        <v/>
      </c>
      <c r="AD33" s="928" t="str">
        <f>IF(F33&gt;0,IF('Loan Entry'!$M33&lt;&gt;0,IF(U33=1,X33,IF(E33=0,U33*X33,X33)),'Loan Entry'!$AC33),"")</f>
        <v/>
      </c>
      <c r="AE33" s="931" t="str">
        <f>IF('Loan Entry'!$M33&gt;0,'Loan Entry'!$F33-'Loan Entry'!$AD33,"")</f>
        <v/>
      </c>
      <c r="AF33" s="651" t="str">
        <f>IF(AE33&gt;0,AC33,0)</f>
        <v/>
      </c>
      <c r="AG33" s="651"/>
      <c r="AH33" s="667" t="str">
        <f>IF(AE33&lt;&gt;0,IF(AE33&lt;AD33,AE33,IF(E33&gt;0,IF('Loan Entry'!$M33&lt;&gt;0,CUMPRINC(E33/Q33,(O33-T33),AE33,1,T33,0)*-1,),'Loan Entry'!$AC33)),0)</f>
        <v/>
      </c>
      <c r="AI33" s="667">
        <f>IF(M33&gt;0,AE33-AH33,0)</f>
        <v>0</v>
      </c>
    </row>
    <row r="34" spans="1:35" ht="24.95" customHeight="1" x14ac:dyDescent="0.2">
      <c r="A34" s="460" t="str">
        <f>IF('Loan Entry'!$M34&gt;0,DATE((G34+1),1,1),"")</f>
        <v/>
      </c>
      <c r="B34" s="337"/>
      <c r="C34" s="338"/>
      <c r="D34" s="338"/>
      <c r="E34" s="939"/>
      <c r="F34" s="339"/>
      <c r="G34" s="340"/>
      <c r="H34" s="450" t="str">
        <f>IF(I34&gt;0,ROUNDDOWN(Year+I34,0),"")</f>
        <v/>
      </c>
      <c r="I34" s="340"/>
      <c r="J34" s="340"/>
      <c r="K34" s="450" t="e">
        <f>IF(H34&gt;0,IF(H34-Year=0,"yes","no"),"")</f>
        <v>#VALUE!</v>
      </c>
      <c r="L34" s="450" t="str">
        <f>IF('Loan Entry'!$J34&gt;0,DATE(G34,INDEX(Inputs!$C$4:$D$15,MATCH(J34,Months,0),2),1),"")</f>
        <v/>
      </c>
      <c r="M34" s="340"/>
      <c r="N34" s="450" t="str">
        <f>IF(M34&lt;&gt;0,IF(AND(K34="yes",M34="Monthly")=TRUE,CHOOSE(R34,"January","February","March","April","May","June","July","August","September","October","November","December"),RIGHT(AB34,3)),"")</f>
        <v/>
      </c>
      <c r="O34" s="581" t="str">
        <f>IF('Loan Entry'!$M34&gt;0,'Loan Entry'!$I34*'Loan Entry'!$Q34,"")</f>
        <v/>
      </c>
      <c r="P34" s="581" t="str">
        <f>IF(M34&gt;0,(H34-(G34-1))*IF(M34="Monthly",12,IF(M34="Quarterly",4,IF(M34="Semi-Annual",2,1))),"")</f>
        <v/>
      </c>
      <c r="Q34" s="581" t="str">
        <f>IF(M34&gt;0,IF(M34="Monthly",12,IF(M34="Quarterly",4,IF(M34="Semi-Annual",2,1))),"")</f>
        <v/>
      </c>
      <c r="R34" s="581" t="str">
        <f>IF(M34&gt;0,IF(I34&lt;1,IF(M34="Annual",1,(YEARFRAC(L34,A34,))*IF(M34="Monthly",O34,IF(M34="quarterly",O34*3,IF(M34="semi-annual",O34*2,12)))),IF(M34="Annual",1,(YEARFRAC(L34,A34,))*12)),"")</f>
        <v/>
      </c>
      <c r="S34" s="581">
        <f>IF(M34&gt;0,INDEX(Inputs!$J$26:$K$37,MATCH('Loan Entry'!N34,Inputs!$J$26:$J$37,0),2)/12,0)</f>
        <v>0</v>
      </c>
      <c r="T34" s="581" t="str">
        <f>IF(M34&lt;&gt;0,IF(R34&gt;12,12,ROUNDUP(IF(M34="Monthly",12*(R34/Q34),IF(M34="Quarterly",((R34/12)*Q34),IF(M34="Semi-Annual",IF(((R34/12)*Q34)&gt;1,2,1),1))),0)),"")</f>
        <v/>
      </c>
      <c r="U34" s="581" t="str">
        <f>IF(M34&gt;0,T34/Q34,"")</f>
        <v/>
      </c>
      <c r="V34" s="581" t="str">
        <f>IF('Loan Entry'!$M34&gt;0,IF(U34=1,X34/T34,(X34/T34)),"")</f>
        <v/>
      </c>
      <c r="W34" s="581" t="str">
        <f>IF('Loan Entry'!$M34&gt;0,IF(U34=1,Y34/T34,U34*(Y34/T34)),"")</f>
        <v/>
      </c>
      <c r="X34" s="581" t="str">
        <f>IF(E34&gt;0,IF('Loan Entry'!$M34&lt;&gt;0,CUMPRINC((365/360)*E34/Q34,O34,F34,1,T34,0)*-1,),'Loan Entry'!$AC34)</f>
        <v/>
      </c>
      <c r="Y34" s="581">
        <f>IF(E34&gt;0,IF('Loan Entry'!$M34&lt;&gt;0,CUMIPMT(((365/360)*E34)/Q34,O34,F34,1,T34,0)*-1,),0)</f>
        <v>0</v>
      </c>
      <c r="Z34" s="581">
        <f>IF(ISERROR(S34*IF(E34&gt;0,IF('Loan Entry'!$M34&lt;&gt;0,CUMIPMT(((365/360)*E34)/Q34,O34,F34,1,T34,0)*-1,),0))=FALSE,S34*IF(E34&gt;0,IF('Loan Entry'!$M34&lt;&gt;0,CUMIPMT(((365/360)*E34)/Q34,O34,F34,1,T34,0)*-1,),0),0)</f>
        <v>0</v>
      </c>
      <c r="AA34" s="581">
        <f>IF(ISERROR(S34*IF(E34&gt;0,IF('Loan Entry'!$M34&lt;&gt;0,CUMIPMT(((365/360)*E34)/Q34,O34-T34,F34,1+T34,T34+T34,0)*-1,),0))=FALSE,S34*IF(E34&gt;0,IF('Loan Entry'!$M34&lt;&gt;0,CUMIPMT(((365/360)*E34)/Q34,O34-T34,F34,1+T34,T34+T34,0)*-1,),0),0)</f>
        <v>0</v>
      </c>
      <c r="AB34" s="581" t="str">
        <f>IF(M34&lt;&gt;0,IF(K34="no",IF(M34="annual",INDEX(Inputs!$C$4:$E$15,MATCH('Loan Entry'!J34,Months,0),3),IF(M34="semi-annual",IF(T34=2,CONCATENATE(INDEX(Inputs!$C$4:$E$15,MATCH('Loan Entry'!J34,Months,0),3),",",INDEX(Inputs!$C$4:$E$15,MATCH(MONTH(L34+190),Inputs!$D$4:$D$15,0),3)),INDEX(Inputs!$C$4:$E$15,MATCH('Loan Entry'!J34,Months,0),3)),IF(M34="Quarterly",IF(T34=4,CONCATENATE(INDEX(Inputs!$C$4:$E$15,MATCH('Loan Entry'!J34,Months,0),3),",",INDEX(Inputs!$C$4:$E$15,MATCH(MONTH(L34+95),Inputs!$D$4:$D$15,0),3),",",INDEX(Inputs!$C$4:$E$15,MATCH(MONTH(L34+190),Inputs!$D$4:$D$15,0),3),",",INDEX(Inputs!$C$4:$E$15,MATCH(MONTH(L34+275),Inputs!$D$4:$D$15,0),3)),IF(T34=3,CONCATENATE(INDEX(Inputs!$C$4:$E$15,MATCH('Loan Entry'!J34,Months,0),3),",",INDEX(Inputs!$C$4:$E$15,MATCH(MONTH(L34+95),Inputs!$D$4:$D$15,0),3),",",INDEX(Inputs!$C$4:$E$15,MATCH(MONTH(L34+190),Inputs!$D$4:$D$15,0),3)),IF(T34=2,CONCATENATE(INDEX(Inputs!$C$4:$E$15,MATCH('Loan Entry'!J34,Months,0),3),",",INDEX(Inputs!$C$4:$E$15,MATCH(MONTH(L34+95),Inputs!$D$4:$D$15,0),3)),INDEX(Inputs!$C$4:$E$15,MATCH('Loan Entry'!J34,Months,0),3)))),INDEX(Inputs!$C$4:$F$15,MATCH('Loan Entry'!J34,Months,0),4)))),IF(M34="annual",INDEX(Inputs!$C$4:$E$15,MATCH('Loan Entry'!J34,Months,0),3),IF(M34="semi-annual",IF(T34=2,CONCATENATE(INDEX(Inputs!$C$4:$E$15,MATCH('Loan Entry'!J34,Months,0),3),",",INDEX(Inputs!$C$4:$E$15,MATCH(MONTH(L34+190),Inputs!$D$4:$D$15,0),3)),INDEX(Inputs!$C$4:$E$15,MATCH('Loan Entry'!J34,Months,0),3)),IF(M34="Quarterly",IF(T34=4,CONCATENATE(INDEX(Inputs!$C$4:$E$15,MATCH('Loan Entry'!J34,Months,0),3),",",INDEX(Inputs!$C$4:$E$15,MATCH(MONTH(L34+95),Inputs!$D$4:$D$15,0),3),",",INDEX(Inputs!$C$4:$E$15,MATCH(MONTH(L34+190),Inputs!$D$4:$D$15,0),3),",",INDEX(Inputs!$C$4:$E$15,MATCH(MONTH(L34+275),Inputs!$D$4:$D$15,0),3)),IF(T34=3,CONCATENATE(INDEX(Inputs!$C$4:$E$15,MATCH('Loan Entry'!J34,Months,0),3),",",INDEX(Inputs!$C$4:$E$15,MATCH(MONTH(L34+95),Inputs!$D$4:$D$15,0),3),",",INDEX(Inputs!$C$4:$E$15,MATCH(MONTH(L34+190),Inputs!$D$4:$D$15,0),3)),IF(T34=2,CONCATENATE(INDEX(Inputs!$C$4:$E$15,MATCH('Loan Entry'!J34,Months,0),3),",",INDEX(Inputs!$C$4:$E$15,MATCH(MONTH(L34+95),Inputs!$D$4:$D$15,0),3)),INDEX(Inputs!$C$4:$G$15,MATCH('Loan Entry'!J34,Months,0),3)))),INDEX(Inputs!$C$4:$G$15,MATCH('Loan Entry'!N34,Months,0),5))))),"")</f>
        <v/>
      </c>
      <c r="AC34" s="925" t="str">
        <f>IF('Loan Entry'!$M34&gt;0,PMT((365/360)*'Loan Entry'!$E34/'Loan Entry'!$Q34,'Loan Entry'!$O34,'Loan Entry'!$F34*-1)*MIN('Loan Entry'!$Q34,O34),"")</f>
        <v/>
      </c>
      <c r="AD34" s="926" t="str">
        <f>IF(F34&gt;0,IF('Loan Entry'!$M34&lt;&gt;0,IF(U34=1,X34,IF(E34=0,U34*X34,X34)),'Loan Entry'!$AC34),"")</f>
        <v/>
      </c>
      <c r="AE34" s="930" t="str">
        <f>IF('Loan Entry'!$M34&gt;0,'Loan Entry'!$F34-'Loan Entry'!$AD34,"")</f>
        <v/>
      </c>
      <c r="AH34" s="667" t="str">
        <f>IF(AE34&lt;&gt;0,IF(AE34&lt;AD34,AE34,IF(E34&gt;0,IF('Loan Entry'!$M34&lt;&gt;0,CUMPRINC(E34/Q34,(O34-T34),AE34,1,T34,0)*-1,),'Loan Entry'!$AC34)),0)</f>
        <v/>
      </c>
      <c r="AI34" s="667">
        <f>IF(M34&gt;0,AE34-AH34,0)</f>
        <v>0</v>
      </c>
    </row>
    <row r="35" spans="1:35" ht="24.95" customHeight="1" x14ac:dyDescent="0.2">
      <c r="B35" s="952" t="str">
        <f>CONCATENATE("Sub-Total ",B29)</f>
        <v>Sub-Total Business Vehicle Loans</v>
      </c>
      <c r="C35" s="952"/>
      <c r="D35" s="952"/>
      <c r="E35" s="952"/>
      <c r="F35" s="952"/>
      <c r="G35" s="952"/>
      <c r="H35" s="952"/>
      <c r="I35" s="952"/>
      <c r="J35" s="952"/>
      <c r="K35" s="952"/>
      <c r="L35" s="952"/>
      <c r="M35" s="952"/>
      <c r="N35" s="952"/>
      <c r="O35" s="952"/>
      <c r="P35" s="952"/>
      <c r="Q35" s="952"/>
      <c r="R35" s="952"/>
      <c r="S35" s="952"/>
      <c r="T35" s="952"/>
      <c r="U35" s="952"/>
      <c r="V35" s="952"/>
      <c r="W35" s="952"/>
      <c r="X35" s="952"/>
      <c r="Y35" s="952"/>
      <c r="Z35" s="952"/>
      <c r="AA35" s="952"/>
      <c r="AB35" s="952"/>
      <c r="AC35" s="952"/>
      <c r="AD35" s="279">
        <f>SUM('Loan Entry'!$AD$31:$AD$34)</f>
        <v>0</v>
      </c>
      <c r="AE35" s="279">
        <f>SUM('Loan Entry'!$AE$31:$AE$34)</f>
        <v>0</v>
      </c>
      <c r="AH35" s="667">
        <f>SUM(AH31:AH34)</f>
        <v>0</v>
      </c>
      <c r="AI35" s="667">
        <f>SUM(AI31:AI34)</f>
        <v>0</v>
      </c>
    </row>
    <row r="36" spans="1:35" ht="24.95" customHeight="1" x14ac:dyDescent="0.2">
      <c r="B36" s="599"/>
      <c r="C36" s="599"/>
      <c r="D36" s="599"/>
      <c r="E36" s="599"/>
      <c r="F36" s="599"/>
      <c r="G36" s="599"/>
      <c r="H36" s="599"/>
      <c r="I36" s="599"/>
      <c r="J36" s="599"/>
      <c r="K36" s="599"/>
      <c r="L36" s="599"/>
      <c r="M36" s="599"/>
      <c r="N36" s="599"/>
      <c r="O36" s="599"/>
      <c r="P36" s="599"/>
      <c r="Q36" s="599"/>
      <c r="R36" s="599"/>
      <c r="S36" s="657"/>
      <c r="T36" s="599"/>
      <c r="U36" s="599"/>
      <c r="V36" s="599"/>
      <c r="W36" s="599"/>
      <c r="X36" s="599"/>
      <c r="Y36" s="599"/>
      <c r="Z36" s="657"/>
      <c r="AA36" s="657"/>
      <c r="AB36" s="599"/>
      <c r="AC36" s="599"/>
      <c r="AD36" s="279"/>
      <c r="AE36" s="279"/>
      <c r="AH36" s="667"/>
      <c r="AI36" s="667"/>
    </row>
    <row r="37" spans="1:35" ht="24.95" customHeight="1" x14ac:dyDescent="0.2">
      <c r="B37" s="954" t="s">
        <v>275</v>
      </c>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54"/>
      <c r="AA37" s="954"/>
      <c r="AB37" s="954"/>
      <c r="AC37" s="954"/>
      <c r="AD37" s="954"/>
      <c r="AE37" s="954"/>
      <c r="AH37" s="667"/>
      <c r="AI37" s="667"/>
    </row>
    <row r="38" spans="1:35" ht="24.95" customHeight="1" thickBot="1" x14ac:dyDescent="0.25">
      <c r="B38" s="482" t="s">
        <v>91</v>
      </c>
      <c r="C38" s="483" t="s">
        <v>92</v>
      </c>
      <c r="D38" s="479" t="s">
        <v>176</v>
      </c>
      <c r="E38" s="484" t="s">
        <v>93</v>
      </c>
      <c r="F38" s="480" t="s">
        <v>115</v>
      </c>
      <c r="G38" s="480" t="s">
        <v>97</v>
      </c>
      <c r="H38" s="480" t="s">
        <v>231</v>
      </c>
      <c r="I38" s="485" t="s">
        <v>104</v>
      </c>
      <c r="J38" s="485" t="s">
        <v>182</v>
      </c>
      <c r="K38" s="570" t="s">
        <v>233</v>
      </c>
      <c r="L38" s="570" t="s">
        <v>236</v>
      </c>
      <c r="M38" s="480" t="s">
        <v>98</v>
      </c>
      <c r="N38" s="571" t="s">
        <v>234</v>
      </c>
      <c r="O38" s="571" t="s">
        <v>235</v>
      </c>
      <c r="P38" s="571" t="s">
        <v>232</v>
      </c>
      <c r="Q38" s="571" t="s">
        <v>107</v>
      </c>
      <c r="R38" s="571" t="s">
        <v>185</v>
      </c>
      <c r="S38" s="571" t="s">
        <v>438</v>
      </c>
      <c r="T38" s="571" t="s">
        <v>199</v>
      </c>
      <c r="U38" s="571" t="s">
        <v>205</v>
      </c>
      <c r="V38" s="571" t="s">
        <v>183</v>
      </c>
      <c r="W38" s="571" t="s">
        <v>184</v>
      </c>
      <c r="X38" s="571" t="s">
        <v>197</v>
      </c>
      <c r="Y38" s="571" t="s">
        <v>198</v>
      </c>
      <c r="Z38" s="571" t="s">
        <v>435</v>
      </c>
      <c r="AA38" s="571" t="s">
        <v>434</v>
      </c>
      <c r="AB38" s="571" t="s">
        <v>106</v>
      </c>
      <c r="AC38" s="485" t="s">
        <v>94</v>
      </c>
      <c r="AD38" s="485" t="s">
        <v>95</v>
      </c>
      <c r="AE38" s="485" t="s">
        <v>96</v>
      </c>
      <c r="AH38" s="667"/>
      <c r="AI38" s="667"/>
    </row>
    <row r="39" spans="1:35" ht="24.95" customHeight="1" thickTop="1" x14ac:dyDescent="0.2">
      <c r="A39" s="458" t="str">
        <f>IF('Loan Entry'!$M39&gt;0,DATE((G39+1),1,1),"")</f>
        <v/>
      </c>
      <c r="B39" s="333"/>
      <c r="C39" s="334"/>
      <c r="D39" s="334"/>
      <c r="E39" s="938"/>
      <c r="F39" s="335"/>
      <c r="G39" s="336"/>
      <c r="H39" s="449" t="str">
        <f>IF(I39&gt;0,ROUNDDOWN(Year+I39,0),"")</f>
        <v/>
      </c>
      <c r="I39" s="336"/>
      <c r="J39" s="336"/>
      <c r="K39" s="449" t="e">
        <f>IF(H39&gt;0,IF(H39-Year=0,"yes","no"),"")</f>
        <v>#VALUE!</v>
      </c>
      <c r="L39" s="449" t="str">
        <f>IF('Loan Entry'!$J39&gt;0,DATE(G39,INDEX(Inputs!$C$4:$D$15,MATCH(J39,Months,0),2),1),"")</f>
        <v/>
      </c>
      <c r="M39" s="336"/>
      <c r="N39" s="449" t="str">
        <f>IF(M39&lt;&gt;0,IF(AND(K39="yes",M39="Monthly")=TRUE,CHOOSE(R39,"January","February","March","April","May","June","July","August","September","October","November","December"),RIGHT(AB39,3)),"")</f>
        <v/>
      </c>
      <c r="O39" s="449" t="str">
        <f>IF('Loan Entry'!$M39&gt;0,'Loan Entry'!$I39*'Loan Entry'!$Q39,"")</f>
        <v/>
      </c>
      <c r="P39" s="449" t="str">
        <f>IF(M39&gt;0,(H39-(G39-1))*IF(M39="Monthly",12,IF(M39="Quarterly",4,IF(M39="Semi-Annual",2,1))),"")</f>
        <v/>
      </c>
      <c r="Q39" s="449" t="str">
        <f>IF(M39&gt;0,IF(M39="Monthly",12,IF(M39="Quarterly",4,IF(M39="Semi-Annual",2,1))),"")</f>
        <v/>
      </c>
      <c r="R39" s="449" t="str">
        <f>IF(M39&gt;0,IF(I39&lt;1,IF(M39="Annual",1,(YEARFRAC(L39,A39,))*IF(M39="Monthly",O39,IF(M39="quarterly",O39*3,IF(M39="semi-annual",O39*2,12)))),IF(M39="Annual",1,(YEARFRAC(L39,A39,))*12)),"")</f>
        <v/>
      </c>
      <c r="S39" s="449">
        <f>IF(M39&gt;0,INDEX(Inputs!$J$26:$K$37,MATCH('Loan Entry'!N39,Inputs!$J$26:$J$37,0),2)/12,0)</f>
        <v>0</v>
      </c>
      <c r="T39" s="449" t="str">
        <f>IF(M39&lt;&gt;0,IF(R39&gt;12,12,ROUNDUP(IF(M39="Monthly",12*(R39/Q39),IF(M39="Quarterly",((R39/12)*Q39),IF(M39="Semi-Annual",IF(((R39/12)*Q39)&gt;1,2,1),1))),0)),"")</f>
        <v/>
      </c>
      <c r="U39" s="449" t="str">
        <f>IF(M39&gt;0,T39/Q39,"")</f>
        <v/>
      </c>
      <c r="V39" s="449" t="str">
        <f>IF('Loan Entry'!$M39&gt;0,IF(U39=1,X39/T39,(X39/T39)),"")</f>
        <v/>
      </c>
      <c r="W39" s="449" t="str">
        <f>IF('Loan Entry'!$M39&gt;0,IF(U39=1,Y39/T39,U39*(Y39/T39)),"")</f>
        <v/>
      </c>
      <c r="X39" s="449" t="str">
        <f>IF(E39&gt;0,IF('Loan Entry'!$M39&lt;&gt;0,CUMPRINC((365/360)*E39/Q39,O39,F39,1,T39,0)*-1,),'Loan Entry'!$AC39)</f>
        <v/>
      </c>
      <c r="Y39" s="449">
        <f>IF(E39&gt;0,IF('Loan Entry'!$M39&lt;&gt;0,CUMIPMT(((365/360)*E39)/Q39,O39,F39,1,T39,0)*-1,),0)</f>
        <v>0</v>
      </c>
      <c r="Z39" s="449">
        <f>IF(ISERROR(S39*IF(E39&gt;0,IF('Loan Entry'!$M39&lt;&gt;0,CUMIPMT(((365/360)*E39)/Q39,O39,F39,1,T39,0)*-1,),0))=FALSE,S39*IF(E39&gt;0,IF('Loan Entry'!$M39&lt;&gt;0,CUMIPMT(((365/360)*E39)/Q39,O39,F39,1,T39,0)*-1,),0),0)</f>
        <v>0</v>
      </c>
      <c r="AA39" s="449">
        <f>IF(ISERROR(S39*IF(E39&gt;0,IF('Loan Entry'!$M39&lt;&gt;0,CUMIPMT(((365/360)*E39)/Q39,O39-T39,F39,1+T39,T39+T39,0)*-1,),0))=FALSE,S39*IF(E39&gt;0,IF('Loan Entry'!$M39&lt;&gt;0,CUMIPMT(((365/360)*E39)/Q39,O39-T39,F39,1+T39,T39+T39,0)*-1,),0),0)</f>
        <v>0</v>
      </c>
      <c r="AB39" s="449" t="str">
        <f>IF(M39&lt;&gt;0,IF(K39="no",IF(M39="annual",INDEX(Inputs!$C$4:$E$15,MATCH('Loan Entry'!J39,Months,0),3),IF(M39="semi-annual",IF(T39=2,CONCATENATE(INDEX(Inputs!$C$4:$E$15,MATCH('Loan Entry'!J39,Months,0),3),",",INDEX(Inputs!$C$4:$E$15,MATCH(MONTH(L39+190),Inputs!$D$4:$D$15,0),3)),INDEX(Inputs!$C$4:$E$15,MATCH('Loan Entry'!J39,Months,0),3)),IF(M39="Quarterly",IF(T39=4,CONCATENATE(INDEX(Inputs!$C$4:$E$15,MATCH('Loan Entry'!J39,Months,0),3),",",INDEX(Inputs!$C$4:$E$15,MATCH(MONTH(L39+95),Inputs!$D$4:$D$15,0),3),",",INDEX(Inputs!$C$4:$E$15,MATCH(MONTH(L39+190),Inputs!$D$4:$D$15,0),3),",",INDEX(Inputs!$C$4:$E$15,MATCH(MONTH(L39+275),Inputs!$D$4:$D$15,0),3)),IF(T39=3,CONCATENATE(INDEX(Inputs!$C$4:$E$15,MATCH('Loan Entry'!J39,Months,0),3),",",INDEX(Inputs!$C$4:$E$15,MATCH(MONTH(L39+95),Inputs!$D$4:$D$15,0),3),",",INDEX(Inputs!$C$4:$E$15,MATCH(MONTH(L39+190),Inputs!$D$4:$D$15,0),3)),IF(T39=2,CONCATENATE(INDEX(Inputs!$C$4:$E$15,MATCH('Loan Entry'!J39,Months,0),3),",",INDEX(Inputs!$C$4:$E$15,MATCH(MONTH(L39+95),Inputs!$D$4:$D$15,0),3)),INDEX(Inputs!$C$4:$E$15,MATCH('Loan Entry'!J39,Months,0),3)))),INDEX(Inputs!$C$4:$F$15,MATCH('Loan Entry'!J39,Months,0),4)))),IF(M39="annual",INDEX(Inputs!$C$4:$E$15,MATCH('Loan Entry'!J39,Months,0),3),IF(M39="semi-annual",IF(T39=2,CONCATENATE(INDEX(Inputs!$C$4:$E$15,MATCH('Loan Entry'!J39,Months,0),3),",",INDEX(Inputs!$C$4:$E$15,MATCH(MONTH(L39+190),Inputs!$D$4:$D$15,0),3)),INDEX(Inputs!$C$4:$E$15,MATCH('Loan Entry'!J39,Months,0),3)),IF(M39="Quarterly",IF(T39=4,CONCATENATE(INDEX(Inputs!$C$4:$E$15,MATCH('Loan Entry'!J39,Months,0),3),",",INDEX(Inputs!$C$4:$E$15,MATCH(MONTH(L39+95),Inputs!$D$4:$D$15,0),3),",",INDEX(Inputs!$C$4:$E$15,MATCH(MONTH(L39+190),Inputs!$D$4:$D$15,0),3),",",INDEX(Inputs!$C$4:$E$15,MATCH(MONTH(L39+275),Inputs!$D$4:$D$15,0),3)),IF(T39=3,CONCATENATE(INDEX(Inputs!$C$4:$E$15,MATCH('Loan Entry'!J39,Months,0),3),",",INDEX(Inputs!$C$4:$E$15,MATCH(MONTH(L39+95),Inputs!$D$4:$D$15,0),3),",",INDEX(Inputs!$C$4:$E$15,MATCH(MONTH(L39+190),Inputs!$D$4:$D$15,0),3)),IF(T39=2,CONCATENATE(INDEX(Inputs!$C$4:$E$15,MATCH('Loan Entry'!J39,Months,0),3),",",INDEX(Inputs!$C$4:$E$15,MATCH(MONTH(L39+95),Inputs!$D$4:$D$15,0),3)),INDEX(Inputs!$C$4:$G$15,MATCH('Loan Entry'!J39,Months,0),3)))),INDEX(Inputs!$C$4:$G$15,MATCH('Loan Entry'!N39,Months,0),5))))),"")</f>
        <v/>
      </c>
      <c r="AC39" s="923" t="str">
        <f>IF('Loan Entry'!$M39&gt;0,PMT((365/360)*'Loan Entry'!$E39/'Loan Entry'!$Q39,'Loan Entry'!$O39,'Loan Entry'!$F39*-1)*MIN('Loan Entry'!$Q39,O39),"")</f>
        <v/>
      </c>
      <c r="AD39" s="924" t="str">
        <f>IF(F39&gt;0,IF('Loan Entry'!$M39&lt;&gt;0,IF(U39=1,X39,IF(E39=0,U39*X39,X39)),'Loan Entry'!$AC39),"")</f>
        <v/>
      </c>
      <c r="AE39" s="929" t="str">
        <f>IF('Loan Entry'!$M39&gt;0,'Loan Entry'!$F39-'Loan Entry'!$AD39,"")</f>
        <v/>
      </c>
      <c r="AF39" s="651" t="str">
        <f>IF(AE39&gt;0,AC39,0)</f>
        <v/>
      </c>
      <c r="AG39" s="651"/>
      <c r="AH39" s="667" t="str">
        <f>IF(AE39&lt;&gt;0,IF(AE39&lt;AD39,AE39,IF(E39&gt;0,IF('Loan Entry'!$M39&lt;&gt;0,CUMPRINC(E39/Q39,(O39-T39),AE39,1,T39,0)*-1,),'Loan Entry'!$AC39)),0)</f>
        <v/>
      </c>
      <c r="AI39" s="667">
        <f>IF(M39&gt;0,AE39-AH39,0)</f>
        <v>0</v>
      </c>
    </row>
    <row r="40" spans="1:35" ht="24.95" customHeight="1" x14ac:dyDescent="0.2">
      <c r="A40" s="460" t="str">
        <f>IF('Loan Entry'!$M40&gt;0,DATE((G40+1),1,1),"")</f>
        <v/>
      </c>
      <c r="B40" s="337"/>
      <c r="C40" s="338"/>
      <c r="D40" s="338"/>
      <c r="E40" s="939"/>
      <c r="F40" s="339"/>
      <c r="G40" s="340"/>
      <c r="H40" s="450" t="str">
        <f>IF(I40&gt;0,ROUNDDOWN(Year+I40,0),"")</f>
        <v/>
      </c>
      <c r="I40" s="340"/>
      <c r="J40" s="340"/>
      <c r="K40" s="450" t="e">
        <f>IF(H40&gt;0,IF(H40-Year=0,"yes","no"),"")</f>
        <v>#VALUE!</v>
      </c>
      <c r="L40" s="450" t="str">
        <f>IF('Loan Entry'!$J40&gt;0,DATE(G40,INDEX(Inputs!$C$4:$D$15,MATCH(J40,Months,0),2),1),"")</f>
        <v/>
      </c>
      <c r="M40" s="340"/>
      <c r="N40" s="450" t="str">
        <f>IF(M40&lt;&gt;0,IF(AND(K40="yes",M40="Monthly")=TRUE,CHOOSE(R40,"January","February","March","April","May","June","July","August","September","October","November","December"),RIGHT(AB40,3)),"")</f>
        <v/>
      </c>
      <c r="O40" s="581" t="str">
        <f>IF('Loan Entry'!$M40&gt;0,'Loan Entry'!$I40*'Loan Entry'!$Q40,"")</f>
        <v/>
      </c>
      <c r="P40" s="581" t="str">
        <f>IF(M40&gt;0,(H40-(G40-1))*IF(M40="Monthly",12,IF(M40="Quarterly",4,IF(M40="Semi-Annual",2,1))),"")</f>
        <v/>
      </c>
      <c r="Q40" s="581" t="str">
        <f>IF(M40&gt;0,IF(M40="Monthly",12,IF(M40="Quarterly",4,IF(M40="Semi-Annual",2,1))),"")</f>
        <v/>
      </c>
      <c r="R40" s="581" t="str">
        <f>IF(M40&gt;0,IF(I40&lt;1,IF(M40="Annual",1,(YEARFRAC(L40,A40,))*IF(M40="Monthly",O40,IF(M40="quarterly",O40*3,IF(M40="semi-annual",O40*2,12)))),IF(M40="Annual",1,(YEARFRAC(L40,A40,))*12)),"")</f>
        <v/>
      </c>
      <c r="S40" s="581">
        <f>IF(M40&gt;0,INDEX(Inputs!$J$26:$K$37,MATCH('Loan Entry'!N40,Inputs!$J$26:$J$37,0),2)/12,0)</f>
        <v>0</v>
      </c>
      <c r="T40" s="581" t="str">
        <f>IF(M40&lt;&gt;0,IF(R40&gt;12,12,ROUNDUP(IF(M40="Monthly",12*(R40/Q40),IF(M40="Quarterly",((R40/12)*Q40),IF(M40="Semi-Annual",IF(((R40/12)*Q40)&gt;1,2,1),1))),0)),"")</f>
        <v/>
      </c>
      <c r="U40" s="581" t="str">
        <f>IF(M40&gt;0,T40/Q40,"")</f>
        <v/>
      </c>
      <c r="V40" s="581" t="str">
        <f>IF('Loan Entry'!$M40&gt;0,IF(U40=1,X40/T40,(X40/T40)),"")</f>
        <v/>
      </c>
      <c r="W40" s="581" t="str">
        <f>IF('Loan Entry'!$M40&gt;0,IF(U40=1,Y40/T40,U40*(Y40/T40)),"")</f>
        <v/>
      </c>
      <c r="X40" s="581" t="str">
        <f>IF(E40&gt;0,IF('Loan Entry'!$M40&lt;&gt;0,CUMPRINC((365/360)*E40/Q40,O40,F40,1,T40,0)*-1,),'Loan Entry'!$AC40)</f>
        <v/>
      </c>
      <c r="Y40" s="581">
        <f>IF(E40&gt;0,IF('Loan Entry'!$M40&lt;&gt;0,CUMIPMT(((365/360)*E40)/Q40,O40,F40,1,T40,0)*-1,),0)</f>
        <v>0</v>
      </c>
      <c r="Z40" s="581">
        <f>IF(ISERROR(S40*IF(E40&gt;0,IF('Loan Entry'!$M40&lt;&gt;0,CUMIPMT(((365/360)*E40)/Q40,O40,F40,1,T40,0)*-1,),0))=FALSE,S40*IF(E40&gt;0,IF('Loan Entry'!$M40&lt;&gt;0,CUMIPMT(((365/360)*E40)/Q40,O40,F40,1,T40,0)*-1,),0),0)</f>
        <v>0</v>
      </c>
      <c r="AA40" s="581">
        <f>IF(ISERROR(S40*IF(E40&gt;0,IF('Loan Entry'!$M40&lt;&gt;0,CUMIPMT(((365/360)*E40)/Q40,O40-T40,F40,1+T40,T40+T40,0)*-1,),0))=FALSE,S40*IF(E40&gt;0,IF('Loan Entry'!$M40&lt;&gt;0,CUMIPMT(((365/360)*E40)/Q40,O40-T40,F40,1+T40,T40+T40,0)*-1,),0),0)</f>
        <v>0</v>
      </c>
      <c r="AB40" s="581" t="str">
        <f>IF(M40&lt;&gt;0,IF(K40="no",IF(M40="annual",INDEX(Inputs!$C$4:$E$15,MATCH('Loan Entry'!J40,Months,0),3),IF(M40="semi-annual",IF(T40=2,CONCATENATE(INDEX(Inputs!$C$4:$E$15,MATCH('Loan Entry'!J40,Months,0),3),",",INDEX(Inputs!$C$4:$E$15,MATCH(MONTH(L40+190),Inputs!$D$4:$D$15,0),3)),INDEX(Inputs!$C$4:$E$15,MATCH('Loan Entry'!J40,Months,0),3)),IF(M40="Quarterly",IF(T40=4,CONCATENATE(INDEX(Inputs!$C$4:$E$15,MATCH('Loan Entry'!J40,Months,0),3),",",INDEX(Inputs!$C$4:$E$15,MATCH(MONTH(L40+95),Inputs!$D$4:$D$15,0),3),",",INDEX(Inputs!$C$4:$E$15,MATCH(MONTH(L40+190),Inputs!$D$4:$D$15,0),3),",",INDEX(Inputs!$C$4:$E$15,MATCH(MONTH(L40+275),Inputs!$D$4:$D$15,0),3)),IF(T40=3,CONCATENATE(INDEX(Inputs!$C$4:$E$15,MATCH('Loan Entry'!J40,Months,0),3),",",INDEX(Inputs!$C$4:$E$15,MATCH(MONTH(L40+95),Inputs!$D$4:$D$15,0),3),",",INDEX(Inputs!$C$4:$E$15,MATCH(MONTH(L40+190),Inputs!$D$4:$D$15,0),3)),IF(T40=2,CONCATENATE(INDEX(Inputs!$C$4:$E$15,MATCH('Loan Entry'!J40,Months,0),3),",",INDEX(Inputs!$C$4:$E$15,MATCH(MONTH(L40+95),Inputs!$D$4:$D$15,0),3)),INDEX(Inputs!$C$4:$E$15,MATCH('Loan Entry'!J40,Months,0),3)))),INDEX(Inputs!$C$4:$F$15,MATCH('Loan Entry'!J40,Months,0),4)))),IF(M40="annual",INDEX(Inputs!$C$4:$E$15,MATCH('Loan Entry'!J40,Months,0),3),IF(M40="semi-annual",IF(T40=2,CONCATENATE(INDEX(Inputs!$C$4:$E$15,MATCH('Loan Entry'!J40,Months,0),3),",",INDEX(Inputs!$C$4:$E$15,MATCH(MONTH(L40+190),Inputs!$D$4:$D$15,0),3)),INDEX(Inputs!$C$4:$E$15,MATCH('Loan Entry'!J40,Months,0),3)),IF(M40="Quarterly",IF(T40=4,CONCATENATE(INDEX(Inputs!$C$4:$E$15,MATCH('Loan Entry'!J40,Months,0),3),",",INDEX(Inputs!$C$4:$E$15,MATCH(MONTH(L40+95),Inputs!$D$4:$D$15,0),3),",",INDEX(Inputs!$C$4:$E$15,MATCH(MONTH(L40+190),Inputs!$D$4:$D$15,0),3),",",INDEX(Inputs!$C$4:$E$15,MATCH(MONTH(L40+275),Inputs!$D$4:$D$15,0),3)),IF(T40=3,CONCATENATE(INDEX(Inputs!$C$4:$E$15,MATCH('Loan Entry'!J40,Months,0),3),",",INDEX(Inputs!$C$4:$E$15,MATCH(MONTH(L40+95),Inputs!$D$4:$D$15,0),3),",",INDEX(Inputs!$C$4:$E$15,MATCH(MONTH(L40+190),Inputs!$D$4:$D$15,0),3)),IF(T40=2,CONCATENATE(INDEX(Inputs!$C$4:$E$15,MATCH('Loan Entry'!J40,Months,0),3),",",INDEX(Inputs!$C$4:$E$15,MATCH(MONTH(L40+95),Inputs!$D$4:$D$15,0),3)),INDEX(Inputs!$C$4:$G$15,MATCH('Loan Entry'!J40,Months,0),3)))),INDEX(Inputs!$C$4:$G$15,MATCH('Loan Entry'!N40,Months,0),5))))),"")</f>
        <v/>
      </c>
      <c r="AC40" s="925" t="str">
        <f>IF('Loan Entry'!$M40&gt;0,PMT((365/360)*'Loan Entry'!$E40/'Loan Entry'!$Q40,'Loan Entry'!$O40,'Loan Entry'!$F40*-1)*MIN('Loan Entry'!$Q40,O40),"")</f>
        <v/>
      </c>
      <c r="AD40" s="926" t="str">
        <f>IF(F40&gt;0,IF('Loan Entry'!$M40&lt;&gt;0,IF(U40=1,X40,IF(E40=0,U40*X40,X40)),'Loan Entry'!$AC40),"")</f>
        <v/>
      </c>
      <c r="AE40" s="930" t="str">
        <f>IF('Loan Entry'!$M40&gt;0,'Loan Entry'!$F40-'Loan Entry'!$AD40,"")</f>
        <v/>
      </c>
      <c r="AF40" s="651" t="str">
        <f>IF(AE40&gt;0,AC40,0)</f>
        <v/>
      </c>
      <c r="AG40" s="651"/>
      <c r="AH40" s="667" t="str">
        <f>IF(AE40&lt;&gt;0,IF(AE40&lt;AD40,AE40,IF(E40&gt;0,IF('Loan Entry'!$M40&lt;&gt;0,CUMPRINC(E40/Q40,(O40-T40),AE40,1,T40,0)*-1,),'Loan Entry'!$AC40)),0)</f>
        <v/>
      </c>
      <c r="AI40" s="667">
        <f>IF(M40&gt;0,AE40-AH40,0)</f>
        <v>0</v>
      </c>
    </row>
    <row r="41" spans="1:35" ht="24.95" customHeight="1" x14ac:dyDescent="0.2">
      <c r="A41" s="460" t="str">
        <f>IF('Loan Entry'!$M41&gt;0,DATE((G41+1),1,1),"")</f>
        <v/>
      </c>
      <c r="B41" s="341"/>
      <c r="C41" s="342"/>
      <c r="D41" s="342"/>
      <c r="E41" s="940"/>
      <c r="F41" s="343"/>
      <c r="G41" s="344"/>
      <c r="H41" s="451" t="str">
        <f>IF(I41&gt;0,ROUNDDOWN(Year+I41,0),"")</f>
        <v/>
      </c>
      <c r="I41" s="344"/>
      <c r="J41" s="344"/>
      <c r="K41" s="451" t="e">
        <f>IF(H41&gt;0,IF(H41-Year=0,"yes","no"),"")</f>
        <v>#VALUE!</v>
      </c>
      <c r="L41" s="451" t="str">
        <f>IF('Loan Entry'!$J41&gt;0,DATE(G41,INDEX(Inputs!$C$4:$D$15,MATCH(J41,Months,0),2),1),"")</f>
        <v/>
      </c>
      <c r="M41" s="344"/>
      <c r="N41" s="451" t="str">
        <f>IF(M41&lt;&gt;0,IF(AND(K41="yes",M41="Monthly")=TRUE,CHOOSE(R41,"January","February","March","April","May","June","July","August","September","October","November","December"),RIGHT(AB41,3)),"")</f>
        <v/>
      </c>
      <c r="O41" s="583" t="str">
        <f>IF('Loan Entry'!$M41&gt;0,'Loan Entry'!$I41*'Loan Entry'!$Q41,"")</f>
        <v/>
      </c>
      <c r="P41" s="583" t="str">
        <f>IF(M41&gt;0,(H41-(G41-1))*IF(M41="Monthly",12,IF(M41="Quarterly",4,IF(M41="Semi-Annual",2,1))),"")</f>
        <v/>
      </c>
      <c r="Q41" s="583" t="str">
        <f>IF(M41&gt;0,IF(M41="Monthly",12,IF(M41="Quarterly",4,IF(M41="Semi-Annual",2,1))),"")</f>
        <v/>
      </c>
      <c r="R41" s="583" t="str">
        <f>IF(M41&gt;0,IF(I41&lt;1,IF(M41="Annual",1,(YEARFRAC(L41,A41,))*IF(M41="Monthly",O41,IF(M41="quarterly",O41*3,IF(M41="semi-annual",O41*2,12)))),IF(M41="Annual",1,(YEARFRAC(L41,A41,))*12)),"")</f>
        <v/>
      </c>
      <c r="S41" s="583">
        <f>IF(M41&gt;0,INDEX(Inputs!$J$26:$K$37,MATCH('Loan Entry'!N41,Inputs!$J$26:$J$37,0),2)/12,0)</f>
        <v>0</v>
      </c>
      <c r="T41" s="583" t="str">
        <f>IF(M41&lt;&gt;0,IF(R41&gt;12,12,ROUNDUP(IF(M41="Monthly",12*(R41/Q41),IF(M41="Quarterly",((R41/12)*Q41),IF(M41="Semi-Annual",IF(((R41/12)*Q41)&gt;1,2,1),1))),0)),"")</f>
        <v/>
      </c>
      <c r="U41" s="583" t="str">
        <f>IF(M41&gt;0,T41/Q41,"")</f>
        <v/>
      </c>
      <c r="V41" s="583" t="str">
        <f>IF('Loan Entry'!$M41&gt;0,IF(U41=1,X41/T41,(X41/T41)),"")</f>
        <v/>
      </c>
      <c r="W41" s="583" t="str">
        <f>IF('Loan Entry'!$M41&gt;0,IF(U41=1,Y41/T41,U41*(Y41/T41)),"")</f>
        <v/>
      </c>
      <c r="X41" s="583" t="str">
        <f>IF(E41&gt;0,IF('Loan Entry'!$M41&lt;&gt;0,CUMPRINC((365/360)*E41/Q41,O41,F41,1,T41,0)*-1,),'Loan Entry'!$AC41)</f>
        <v/>
      </c>
      <c r="Y41" s="583">
        <f>IF(E41&gt;0,IF('Loan Entry'!$M41&lt;&gt;0,CUMIPMT(((365/360)*E41)/Q41,O41,F41,1,T41,0)*-1,),0)</f>
        <v>0</v>
      </c>
      <c r="Z41" s="583">
        <f>IF(ISERROR(S41*IF(E41&gt;0,IF('Loan Entry'!$M41&lt;&gt;0,CUMIPMT(((365/360)*E41)/Q41,O41,F41,1,T41,0)*-1,),0))=FALSE,S41*IF(E41&gt;0,IF('Loan Entry'!$M41&lt;&gt;0,CUMIPMT(((365/360)*E41)/Q41,O41,F41,1,T41,0)*-1,),0),0)</f>
        <v>0</v>
      </c>
      <c r="AA41" s="583">
        <f>IF(ISERROR(S41*IF(E41&gt;0,IF('Loan Entry'!$M41&lt;&gt;0,CUMIPMT(((365/360)*E41)/Q41,O41-T41,F41,1+T41,T41+T41,0)*-1,),0))=FALSE,S41*IF(E41&gt;0,IF('Loan Entry'!$M41&lt;&gt;0,CUMIPMT(((365/360)*E41)/Q41,O41-T41,F41,1+T41,T41+T41,0)*-1,),0),0)</f>
        <v>0</v>
      </c>
      <c r="AB41" s="583" t="str">
        <f>IF(M41&lt;&gt;0,IF(K41="no",IF(M41="annual",INDEX(Inputs!$C$4:$E$15,MATCH('Loan Entry'!J41,Months,0),3),IF(M41="semi-annual",IF(T41=2,CONCATENATE(INDEX(Inputs!$C$4:$E$15,MATCH('Loan Entry'!J41,Months,0),3),",",INDEX(Inputs!$C$4:$E$15,MATCH(MONTH(L41+190),Inputs!$D$4:$D$15,0),3)),INDEX(Inputs!$C$4:$E$15,MATCH('Loan Entry'!J41,Months,0),3)),IF(M41="Quarterly",IF(T41=4,CONCATENATE(INDEX(Inputs!$C$4:$E$15,MATCH('Loan Entry'!J41,Months,0),3),",",INDEX(Inputs!$C$4:$E$15,MATCH(MONTH(L41+95),Inputs!$D$4:$D$15,0),3),",",INDEX(Inputs!$C$4:$E$15,MATCH(MONTH(L41+190),Inputs!$D$4:$D$15,0),3),",",INDEX(Inputs!$C$4:$E$15,MATCH(MONTH(L41+275),Inputs!$D$4:$D$15,0),3)),IF(T41=3,CONCATENATE(INDEX(Inputs!$C$4:$E$15,MATCH('Loan Entry'!J41,Months,0),3),",",INDEX(Inputs!$C$4:$E$15,MATCH(MONTH(L41+95),Inputs!$D$4:$D$15,0),3),",",INDEX(Inputs!$C$4:$E$15,MATCH(MONTH(L41+190),Inputs!$D$4:$D$15,0),3)),IF(T41=2,CONCATENATE(INDEX(Inputs!$C$4:$E$15,MATCH('Loan Entry'!J41,Months,0),3),",",INDEX(Inputs!$C$4:$E$15,MATCH(MONTH(L41+95),Inputs!$D$4:$D$15,0),3)),INDEX(Inputs!$C$4:$E$15,MATCH('Loan Entry'!J41,Months,0),3)))),INDEX(Inputs!$C$4:$F$15,MATCH('Loan Entry'!J41,Months,0),4)))),IF(M41="annual",INDEX(Inputs!$C$4:$E$15,MATCH('Loan Entry'!J41,Months,0),3),IF(M41="semi-annual",IF(T41=2,CONCATENATE(INDEX(Inputs!$C$4:$E$15,MATCH('Loan Entry'!J41,Months,0),3),",",INDEX(Inputs!$C$4:$E$15,MATCH(MONTH(L41+190),Inputs!$D$4:$D$15,0),3)),INDEX(Inputs!$C$4:$E$15,MATCH('Loan Entry'!J41,Months,0),3)),IF(M41="Quarterly",IF(T41=4,CONCATENATE(INDEX(Inputs!$C$4:$E$15,MATCH('Loan Entry'!J41,Months,0),3),",",INDEX(Inputs!$C$4:$E$15,MATCH(MONTH(L41+95),Inputs!$D$4:$D$15,0),3),",",INDEX(Inputs!$C$4:$E$15,MATCH(MONTH(L41+190),Inputs!$D$4:$D$15,0),3),",",INDEX(Inputs!$C$4:$E$15,MATCH(MONTH(L41+275),Inputs!$D$4:$D$15,0),3)),IF(T41=3,CONCATENATE(INDEX(Inputs!$C$4:$E$15,MATCH('Loan Entry'!J41,Months,0),3),",",INDEX(Inputs!$C$4:$E$15,MATCH(MONTH(L41+95),Inputs!$D$4:$D$15,0),3),",",INDEX(Inputs!$C$4:$E$15,MATCH(MONTH(L41+190),Inputs!$D$4:$D$15,0),3)),IF(T41=2,CONCATENATE(INDEX(Inputs!$C$4:$E$15,MATCH('Loan Entry'!J41,Months,0),3),",",INDEX(Inputs!$C$4:$E$15,MATCH(MONTH(L41+95),Inputs!$D$4:$D$15,0),3)),INDEX(Inputs!$C$4:$G$15,MATCH('Loan Entry'!J41,Months,0),3)))),INDEX(Inputs!$C$4:$G$15,MATCH('Loan Entry'!N41,Months,0),5))))),"")</f>
        <v/>
      </c>
      <c r="AC41" s="927" t="str">
        <f>IF('Loan Entry'!$M41&gt;0,PMT((365/360)*'Loan Entry'!$E41/'Loan Entry'!$Q41,'Loan Entry'!$O41,'Loan Entry'!$F41*-1)*MIN('Loan Entry'!$Q41,O41),"")</f>
        <v/>
      </c>
      <c r="AD41" s="928" t="str">
        <f>IF(F41&gt;0,IF('Loan Entry'!$M41&lt;&gt;0,IF(U41=1,X41,IF(E41=0,U41*X41,X41)),'Loan Entry'!$AC41),"")</f>
        <v/>
      </c>
      <c r="AE41" s="931" t="str">
        <f>IF('Loan Entry'!$M41&gt;0,'Loan Entry'!$F41-'Loan Entry'!$AD41,"")</f>
        <v/>
      </c>
      <c r="AF41" s="651" t="str">
        <f>IF(AE41&gt;0,AC41,0)</f>
        <v/>
      </c>
      <c r="AG41" s="651"/>
      <c r="AH41" s="667" t="str">
        <f>IF(AE41&lt;&gt;0,IF(AE41&lt;AD41,AE41,IF(E41&gt;0,IF('Loan Entry'!$M41&lt;&gt;0,CUMPRINC(E41/Q41,(O41-T41),AE41,1,T41,0)*-1,),'Loan Entry'!$AC41)),0)</f>
        <v/>
      </c>
      <c r="AI41" s="667">
        <f>IF(M41&gt;0,AE41-AH41,0)</f>
        <v>0</v>
      </c>
    </row>
    <row r="42" spans="1:35" ht="24.95" customHeight="1" x14ac:dyDescent="0.2">
      <c r="A42" s="460" t="str">
        <f>IF('Loan Entry'!$M42&gt;0,DATE((G42+1),1,1),"")</f>
        <v/>
      </c>
      <c r="B42" s="337"/>
      <c r="C42" s="338"/>
      <c r="D42" s="338"/>
      <c r="E42" s="939"/>
      <c r="F42" s="339"/>
      <c r="G42" s="340"/>
      <c r="H42" s="450" t="str">
        <f>IF(I42&gt;0,ROUNDDOWN(Year+I42,0),"")</f>
        <v/>
      </c>
      <c r="I42" s="340"/>
      <c r="J42" s="340"/>
      <c r="K42" s="450" t="e">
        <f>IF(H42&gt;0,IF(H42-Year=0,"yes","no"),"")</f>
        <v>#VALUE!</v>
      </c>
      <c r="L42" s="450" t="str">
        <f>IF('Loan Entry'!$J42&gt;0,DATE(G42,INDEX(Inputs!$C$4:$D$15,MATCH(J42,Months,0),2),1),"")</f>
        <v/>
      </c>
      <c r="M42" s="340"/>
      <c r="N42" s="450" t="str">
        <f>IF(M42&lt;&gt;0,IF(AND(K42="yes",M42="Monthly")=TRUE,CHOOSE(R42,"January","February","March","April","May","June","July","August","September","October","November","December"),RIGHT(AB42,3)),"")</f>
        <v/>
      </c>
      <c r="O42" s="581" t="str">
        <f>IF('Loan Entry'!$M42&gt;0,'Loan Entry'!$I42*'Loan Entry'!$Q42,"")</f>
        <v/>
      </c>
      <c r="P42" s="581" t="str">
        <f>IF(M42&gt;0,(H42-(G42-1))*IF(M42="Monthly",12,IF(M42="Quarterly",4,IF(M42="Semi-Annual",2,1))),"")</f>
        <v/>
      </c>
      <c r="Q42" s="581" t="str">
        <f>IF(M42&gt;0,IF(M42="Monthly",12,IF(M42="Quarterly",4,IF(M42="Semi-Annual",2,1))),"")</f>
        <v/>
      </c>
      <c r="R42" s="581" t="str">
        <f>IF(M42&gt;0,IF(I42&lt;1,IF(M42="Annual",1,(YEARFRAC(L42,A42,))*IF(M42="Monthly",O42,IF(M42="quarterly",O42*3,IF(M42="semi-annual",O42*2,12)))),IF(M42="Annual",1,(YEARFRAC(L42,A42,))*12)),"")</f>
        <v/>
      </c>
      <c r="S42" s="581">
        <f>IF(M42&gt;0,INDEX(Inputs!$J$26:$K$37,MATCH('Loan Entry'!N42,Inputs!$J$26:$J$37,0),2)/12,0)</f>
        <v>0</v>
      </c>
      <c r="T42" s="581" t="str">
        <f>IF(M42&lt;&gt;0,IF(R42&gt;12,12,ROUNDUP(IF(M42="Monthly",12*(R42/Q42),IF(M42="Quarterly",((R42/12)*Q42),IF(M42="Semi-Annual",IF(((R42/12)*Q42)&gt;1,2,1),1))),0)),"")</f>
        <v/>
      </c>
      <c r="U42" s="581" t="str">
        <f>IF(M42&gt;0,T42/Q42,"")</f>
        <v/>
      </c>
      <c r="V42" s="581" t="str">
        <f>IF('Loan Entry'!$M42&gt;0,IF(U42=1,X42/T42,(X42/T42)),"")</f>
        <v/>
      </c>
      <c r="W42" s="581" t="str">
        <f>IF('Loan Entry'!$M42&gt;0,IF(U42=1,Y42/T42,U42*(Y42/T42)),"")</f>
        <v/>
      </c>
      <c r="X42" s="581" t="str">
        <f>IF(E42&gt;0,IF('Loan Entry'!$M42&lt;&gt;0,CUMPRINC((365/360)*E42/Q42,O42,F42,1,T42,0)*-1,),'Loan Entry'!$AC42)</f>
        <v/>
      </c>
      <c r="Y42" s="581">
        <f>IF(E42&gt;0,IF('Loan Entry'!$M42&lt;&gt;0,CUMIPMT(((365/360)*E42)/Q42,O42,F42,1,T42,0)*-1,),0)</f>
        <v>0</v>
      </c>
      <c r="Z42" s="581">
        <f>IF(ISERROR(S42*IF(E42&gt;0,IF('Loan Entry'!$M42&lt;&gt;0,CUMIPMT(((365/360)*E42)/Q42,O42,F42,1,T42,0)*-1,),0))=FALSE,S42*IF(E42&gt;0,IF('Loan Entry'!$M42&lt;&gt;0,CUMIPMT(((365/360)*E42)/Q42,O42,F42,1,T42,0)*-1,),0),0)</f>
        <v>0</v>
      </c>
      <c r="AA42" s="581">
        <f>IF(ISERROR(S42*IF(E42&gt;0,IF('Loan Entry'!$M42&lt;&gt;0,CUMIPMT(((365/360)*E42)/Q42,O42-T42,F42,1+T42,T42+T42,0)*-1,),0))=FALSE,S42*IF(E42&gt;0,IF('Loan Entry'!$M42&lt;&gt;0,CUMIPMT(((365/360)*E42)/Q42,O42-T42,F42,1+T42,T42+T42,0)*-1,),0),0)</f>
        <v>0</v>
      </c>
      <c r="AB42" s="581" t="str">
        <f>IF(M42&lt;&gt;0,IF(K42="no",IF(M42="annual",INDEX(Inputs!$C$4:$E$15,MATCH('Loan Entry'!J42,Months,0),3),IF(M42="semi-annual",IF(T42=2,CONCATENATE(INDEX(Inputs!$C$4:$E$15,MATCH('Loan Entry'!J42,Months,0),3),",",INDEX(Inputs!$C$4:$E$15,MATCH(MONTH(L42+190),Inputs!$D$4:$D$15,0),3)),INDEX(Inputs!$C$4:$E$15,MATCH('Loan Entry'!J42,Months,0),3)),IF(M42="Quarterly",IF(T42=4,CONCATENATE(INDEX(Inputs!$C$4:$E$15,MATCH('Loan Entry'!J42,Months,0),3),",",INDEX(Inputs!$C$4:$E$15,MATCH(MONTH(L42+95),Inputs!$D$4:$D$15,0),3),",",INDEX(Inputs!$C$4:$E$15,MATCH(MONTH(L42+190),Inputs!$D$4:$D$15,0),3),",",INDEX(Inputs!$C$4:$E$15,MATCH(MONTH(L42+275),Inputs!$D$4:$D$15,0),3)),IF(T42=3,CONCATENATE(INDEX(Inputs!$C$4:$E$15,MATCH('Loan Entry'!J42,Months,0),3),",",INDEX(Inputs!$C$4:$E$15,MATCH(MONTH(L42+95),Inputs!$D$4:$D$15,0),3),",",INDEX(Inputs!$C$4:$E$15,MATCH(MONTH(L42+190),Inputs!$D$4:$D$15,0),3)),IF(T42=2,CONCATENATE(INDEX(Inputs!$C$4:$E$15,MATCH('Loan Entry'!J42,Months,0),3),",",INDEX(Inputs!$C$4:$E$15,MATCH(MONTH(L42+95),Inputs!$D$4:$D$15,0),3)),INDEX(Inputs!$C$4:$E$15,MATCH('Loan Entry'!J42,Months,0),3)))),INDEX(Inputs!$C$4:$F$15,MATCH('Loan Entry'!J42,Months,0),4)))),IF(M42="annual",INDEX(Inputs!$C$4:$E$15,MATCH('Loan Entry'!J42,Months,0),3),IF(M42="semi-annual",IF(T42=2,CONCATENATE(INDEX(Inputs!$C$4:$E$15,MATCH('Loan Entry'!J42,Months,0),3),",",INDEX(Inputs!$C$4:$E$15,MATCH(MONTH(L42+190),Inputs!$D$4:$D$15,0),3)),INDEX(Inputs!$C$4:$E$15,MATCH('Loan Entry'!J42,Months,0),3)),IF(M42="Quarterly",IF(T42=4,CONCATENATE(INDEX(Inputs!$C$4:$E$15,MATCH('Loan Entry'!J42,Months,0),3),",",INDEX(Inputs!$C$4:$E$15,MATCH(MONTH(L42+95),Inputs!$D$4:$D$15,0),3),",",INDEX(Inputs!$C$4:$E$15,MATCH(MONTH(L42+190),Inputs!$D$4:$D$15,0),3),",",INDEX(Inputs!$C$4:$E$15,MATCH(MONTH(L42+275),Inputs!$D$4:$D$15,0),3)),IF(T42=3,CONCATENATE(INDEX(Inputs!$C$4:$E$15,MATCH('Loan Entry'!J42,Months,0),3),",",INDEX(Inputs!$C$4:$E$15,MATCH(MONTH(L42+95),Inputs!$D$4:$D$15,0),3),",",INDEX(Inputs!$C$4:$E$15,MATCH(MONTH(L42+190),Inputs!$D$4:$D$15,0),3)),IF(T42=2,CONCATENATE(INDEX(Inputs!$C$4:$E$15,MATCH('Loan Entry'!J42,Months,0),3),",",INDEX(Inputs!$C$4:$E$15,MATCH(MONTH(L42+95),Inputs!$D$4:$D$15,0),3)),INDEX(Inputs!$C$4:$G$15,MATCH('Loan Entry'!J42,Months,0),3)))),INDEX(Inputs!$C$4:$G$15,MATCH('Loan Entry'!N42,Months,0),5))))),"")</f>
        <v/>
      </c>
      <c r="AC42" s="925" t="str">
        <f>IF('Loan Entry'!$M42&gt;0,PMT((365/360)*'Loan Entry'!$E42/'Loan Entry'!$Q42,'Loan Entry'!$O42,'Loan Entry'!$F42*-1)*MIN('Loan Entry'!$Q42,O42),"")</f>
        <v/>
      </c>
      <c r="AD42" s="926" t="str">
        <f>IF(F42&gt;0,IF('Loan Entry'!$M42&lt;&gt;0,IF(U42=1,X42,IF(E42=0,U42*X42,X42)),'Loan Entry'!$AC42),"")</f>
        <v/>
      </c>
      <c r="AE42" s="930" t="str">
        <f>IF('Loan Entry'!$M42&gt;0,'Loan Entry'!$F42-'Loan Entry'!$AD42,"")</f>
        <v/>
      </c>
      <c r="AF42" s="651" t="str">
        <f>IF(AE42&gt;0,AC42,0)</f>
        <v/>
      </c>
      <c r="AG42" s="651"/>
      <c r="AH42" s="667" t="str">
        <f>IF(AE42&lt;&gt;0,IF(AE42&lt;AD42,AE42,IF(E42&gt;0,IF('Loan Entry'!$M42&lt;&gt;0,CUMPRINC(E42/Q42,(O42-T42),AE42,1,T42,0)*-1,),'Loan Entry'!$AC42)),0)</f>
        <v/>
      </c>
      <c r="AI42" s="667">
        <f>IF(M42&gt;0,AE42-AH42,0)</f>
        <v>0</v>
      </c>
    </row>
    <row r="43" spans="1:35" ht="24.95" customHeight="1" x14ac:dyDescent="0.2">
      <c r="A43" s="460" t="str">
        <f>IF('Loan Entry'!$M50&gt;0,DATE((G50+1),1,1),"")</f>
        <v/>
      </c>
      <c r="B43" s="952" t="str">
        <f>CONCATENATE("Sub-Total ",B37)</f>
        <v>Sub-Total Other Business Loans</v>
      </c>
      <c r="C43" s="952"/>
      <c r="D43" s="952"/>
      <c r="E43" s="952"/>
      <c r="F43" s="952"/>
      <c r="G43" s="952"/>
      <c r="H43" s="952"/>
      <c r="I43" s="952"/>
      <c r="J43" s="952"/>
      <c r="K43" s="952"/>
      <c r="L43" s="952"/>
      <c r="M43" s="952"/>
      <c r="N43" s="952"/>
      <c r="O43" s="952"/>
      <c r="P43" s="952"/>
      <c r="Q43" s="952"/>
      <c r="R43" s="952"/>
      <c r="S43" s="952"/>
      <c r="T43" s="952"/>
      <c r="U43" s="952"/>
      <c r="V43" s="952"/>
      <c r="W43" s="952"/>
      <c r="X43" s="952"/>
      <c r="Y43" s="952"/>
      <c r="Z43" s="952"/>
      <c r="AA43" s="952"/>
      <c r="AB43" s="952"/>
      <c r="AC43" s="952"/>
      <c r="AD43" s="279">
        <f>SUM('Loan Entry'!$AD$39:$AD$42)</f>
        <v>0</v>
      </c>
      <c r="AE43" s="279">
        <f>SUM('Loan Entry'!$AE$39:$AE$42)</f>
        <v>0</v>
      </c>
      <c r="AH43" s="667">
        <f>SUM(AH39:AH42)</f>
        <v>0</v>
      </c>
      <c r="AI43" s="667">
        <f>SUM(AI39:AI42)</f>
        <v>0</v>
      </c>
    </row>
    <row r="44" spans="1:35" ht="24.95" customHeight="1" x14ac:dyDescent="0.2">
      <c r="B44" s="592"/>
      <c r="C44" s="592"/>
      <c r="D44" s="592"/>
      <c r="E44" s="592"/>
      <c r="F44" s="592"/>
      <c r="G44" s="592"/>
      <c r="H44" s="592"/>
      <c r="I44" s="592"/>
      <c r="J44" s="592"/>
      <c r="K44" s="592"/>
      <c r="L44" s="592"/>
      <c r="M44" s="592"/>
      <c r="N44" s="592"/>
      <c r="O44" s="592"/>
      <c r="P44" s="592"/>
      <c r="Q44" s="592"/>
      <c r="R44" s="592"/>
      <c r="S44" s="657"/>
      <c r="T44" s="592"/>
      <c r="U44" s="592"/>
      <c r="V44" s="592"/>
      <c r="W44" s="592"/>
      <c r="X44" s="592"/>
      <c r="Y44" s="592"/>
      <c r="Z44" s="657"/>
      <c r="AA44" s="657"/>
      <c r="AB44" s="592"/>
      <c r="AC44" s="592"/>
      <c r="AD44" s="279"/>
      <c r="AE44" s="279"/>
      <c r="AH44" s="667"/>
      <c r="AI44" s="667"/>
    </row>
    <row r="45" spans="1:35" ht="24.95" customHeight="1" x14ac:dyDescent="0.2">
      <c r="B45" s="954" t="s">
        <v>263</v>
      </c>
      <c r="C45" s="954"/>
      <c r="D45" s="954"/>
      <c r="E45" s="954"/>
      <c r="F45" s="954"/>
      <c r="G45" s="954"/>
      <c r="H45" s="954"/>
      <c r="I45" s="954"/>
      <c r="J45" s="954"/>
      <c r="K45" s="954"/>
      <c r="L45" s="954"/>
      <c r="M45" s="954"/>
      <c r="N45" s="954"/>
      <c r="O45" s="954"/>
      <c r="P45" s="954"/>
      <c r="Q45" s="954"/>
      <c r="R45" s="954"/>
      <c r="S45" s="954"/>
      <c r="T45" s="954"/>
      <c r="U45" s="954"/>
      <c r="V45" s="954"/>
      <c r="W45" s="954"/>
      <c r="X45" s="954"/>
      <c r="Y45" s="954"/>
      <c r="Z45" s="954"/>
      <c r="AA45" s="954"/>
      <c r="AB45" s="954"/>
      <c r="AC45" s="954"/>
      <c r="AD45" s="954"/>
      <c r="AE45" s="954"/>
      <c r="AH45" s="667"/>
      <c r="AI45" s="667"/>
    </row>
    <row r="46" spans="1:35" ht="24.95" customHeight="1" thickBot="1" x14ac:dyDescent="0.25">
      <c r="B46" s="482" t="s">
        <v>91</v>
      </c>
      <c r="C46" s="483" t="s">
        <v>92</v>
      </c>
      <c r="D46" s="479" t="s">
        <v>176</v>
      </c>
      <c r="E46" s="484" t="s">
        <v>93</v>
      </c>
      <c r="F46" s="480" t="s">
        <v>115</v>
      </c>
      <c r="G46" s="480" t="s">
        <v>97</v>
      </c>
      <c r="H46" s="480" t="s">
        <v>231</v>
      </c>
      <c r="I46" s="485" t="s">
        <v>104</v>
      </c>
      <c r="J46" s="485" t="s">
        <v>182</v>
      </c>
      <c r="K46" s="570" t="s">
        <v>233</v>
      </c>
      <c r="L46" s="570" t="s">
        <v>236</v>
      </c>
      <c r="M46" s="480" t="s">
        <v>98</v>
      </c>
      <c r="N46" s="571" t="s">
        <v>234</v>
      </c>
      <c r="O46" s="571" t="s">
        <v>235</v>
      </c>
      <c r="P46" s="571" t="s">
        <v>232</v>
      </c>
      <c r="Q46" s="571" t="s">
        <v>107</v>
      </c>
      <c r="R46" s="571" t="s">
        <v>185</v>
      </c>
      <c r="S46" s="571" t="s">
        <v>438</v>
      </c>
      <c r="T46" s="571" t="s">
        <v>199</v>
      </c>
      <c r="U46" s="571" t="s">
        <v>205</v>
      </c>
      <c r="V46" s="571" t="s">
        <v>183</v>
      </c>
      <c r="W46" s="571" t="s">
        <v>184</v>
      </c>
      <c r="X46" s="571" t="s">
        <v>197</v>
      </c>
      <c r="Y46" s="571" t="s">
        <v>198</v>
      </c>
      <c r="Z46" s="571" t="s">
        <v>435</v>
      </c>
      <c r="AA46" s="571" t="s">
        <v>434</v>
      </c>
      <c r="AB46" s="571" t="s">
        <v>106</v>
      </c>
      <c r="AC46" s="485" t="s">
        <v>94</v>
      </c>
      <c r="AD46" s="485" t="s">
        <v>95</v>
      </c>
      <c r="AE46" s="485" t="s">
        <v>96</v>
      </c>
      <c r="AH46" s="667"/>
      <c r="AI46" s="667"/>
    </row>
    <row r="47" spans="1:35" ht="24.95" customHeight="1" thickTop="1" x14ac:dyDescent="0.2">
      <c r="A47" s="458" t="str">
        <f>IF('Loan Entry'!$M47&gt;0,DATE((G47+1),1,1),"")</f>
        <v/>
      </c>
      <c r="B47" s="333"/>
      <c r="C47" s="334"/>
      <c r="D47" s="334"/>
      <c r="E47" s="938"/>
      <c r="F47" s="335"/>
      <c r="G47" s="336"/>
      <c r="H47" s="449" t="str">
        <f>IF(I47&gt;0,ROUNDDOWN(Year+I47,0),"")</f>
        <v/>
      </c>
      <c r="I47" s="336"/>
      <c r="J47" s="336"/>
      <c r="K47" s="449" t="e">
        <f>IF(H47&gt;0,IF(H47-Year=0,"yes","no"),"")</f>
        <v>#VALUE!</v>
      </c>
      <c r="L47" s="449" t="str">
        <f>IF('Loan Entry'!$J47&gt;0,DATE(G47,INDEX(Inputs!$C$4:$D$15,MATCH(J47,Months,0),2),1),"")</f>
        <v/>
      </c>
      <c r="M47" s="336"/>
      <c r="N47" s="449" t="str">
        <f>IF(M47&lt;&gt;0,IF(AND(K47="yes",M47="Monthly")=TRUE,CHOOSE(R47,"January","February","March","April","May","June","July","August","September","October","November","December"),RIGHT(AB47,3)),"")</f>
        <v/>
      </c>
      <c r="O47" s="449" t="str">
        <f>IF('Loan Entry'!$M47&gt;0,'Loan Entry'!$I47*'Loan Entry'!$Q47,"")</f>
        <v/>
      </c>
      <c r="P47" s="449" t="str">
        <f>IF(M47&gt;0,(H47-(G47-1))*IF(M47="Monthly",12,IF(M47="Quarterly",4,IF(M47="Semi-Annual",2,1))),"")</f>
        <v/>
      </c>
      <c r="Q47" s="449" t="str">
        <f>IF(M47&gt;0,IF(M47="Monthly",12,IF(M47="Quarterly",4,IF(M47="Semi-Annual",2,1))),"")</f>
        <v/>
      </c>
      <c r="R47" s="449" t="str">
        <f>IF(M47&gt;0,IF(I47&lt;1,IF(M47="Annual",1,(YEARFRAC(L47,A47,))*IF(M47="Monthly",O47,IF(M47="quarterly",O47*3,IF(M47="semi-annual",O47*2,12)))),IF(M47="Annual",1,(YEARFRAC(L47,A47,))*12)),"")</f>
        <v/>
      </c>
      <c r="S47" s="449">
        <f>IF(M47&gt;0,INDEX(Inputs!$J$26:$K$37,MATCH('Loan Entry'!N47,Inputs!$J$26:$J$37,0),2)/12,0)</f>
        <v>0</v>
      </c>
      <c r="T47" s="449" t="str">
        <f>IF(M47&lt;&gt;0,IF(R47&gt;12,12,ROUNDUP(IF(M47="Monthly",12*(R47/Q47),IF(M47="Quarterly",((R47/12)*Q47),IF(M47="Semi-Annual",IF(((R47/12)*Q47)&gt;1,2,1),1))),0)),"")</f>
        <v/>
      </c>
      <c r="U47" s="449" t="str">
        <f>IF(M47&gt;0,T47/Q47,"")</f>
        <v/>
      </c>
      <c r="V47" s="449" t="str">
        <f>IF('Loan Entry'!$M47&gt;0,IF(U47=1,X47/T47,(X47/T47)),"")</f>
        <v/>
      </c>
      <c r="W47" s="449" t="str">
        <f>IF('Loan Entry'!$M47&gt;0,IF(U47=1,Y47/T47,U47*(Y47/T47)),"")</f>
        <v/>
      </c>
      <c r="X47" s="449" t="str">
        <f>IF(E47&gt;0,IF('Loan Entry'!$M47&lt;&gt;0,CUMPRINC((365/360)*E47/Q47,O47,F47,1,T47,0)*-1,),'Loan Entry'!$AC47)</f>
        <v/>
      </c>
      <c r="Y47" s="449">
        <f>IF(E47&gt;0,IF('Loan Entry'!$M47&lt;&gt;0,CUMIPMT(((365/360)*E47)/Q47,O47,F47,1,T47,0)*-1,),0)</f>
        <v>0</v>
      </c>
      <c r="Z47" s="449">
        <f>IF(ISERROR(S47*IF(E47&gt;0,IF('Loan Entry'!$M47&lt;&gt;0,CUMIPMT(((365/360)*E47)/Q47,O47,F47,1,T47,0)*-1,),0))=FALSE,S47*IF(E47&gt;0,IF('Loan Entry'!$M47&lt;&gt;0,CUMIPMT(((365/360)*E47)/Q47,O47,F47,1,T47,0)*-1,),0),0)</f>
        <v>0</v>
      </c>
      <c r="AA47" s="449">
        <f>IF(ISERROR(S47*IF(E47&gt;0,IF('Loan Entry'!$M47&lt;&gt;0,CUMIPMT(((365/360)*E47)/Q47,O47-T47,F47,1+T47,T47+T47,0)*-1,),0))=FALSE,S47*IF(E47&gt;0,IF('Loan Entry'!$M47&lt;&gt;0,CUMIPMT(((365/360)*E47)/Q47,O47-T47,F47,1+T47,T47+T47,0)*-1,),0),0)</f>
        <v>0</v>
      </c>
      <c r="AB47" s="449" t="str">
        <f>IF(M47&lt;&gt;0,IF(K47="no",IF(M47="annual",INDEX(Inputs!$C$4:$E$15,MATCH('Loan Entry'!J47,Months,0),3),IF(M47="semi-annual",IF(T47=2,CONCATENATE(INDEX(Inputs!$C$4:$E$15,MATCH('Loan Entry'!J47,Months,0),3),",",INDEX(Inputs!$C$4:$E$15,MATCH(MONTH(L47+190),Inputs!$D$4:$D$15,0),3)),INDEX(Inputs!$C$4:$E$15,MATCH('Loan Entry'!J47,Months,0),3)),IF(M47="Quarterly",IF(T47=4,CONCATENATE(INDEX(Inputs!$C$4:$E$15,MATCH('Loan Entry'!J47,Months,0),3),",",INDEX(Inputs!$C$4:$E$15,MATCH(MONTH(L47+95),Inputs!$D$4:$D$15,0),3),",",INDEX(Inputs!$C$4:$E$15,MATCH(MONTH(L47+190),Inputs!$D$4:$D$15,0),3),",",INDEX(Inputs!$C$4:$E$15,MATCH(MONTH(L47+275),Inputs!$D$4:$D$15,0),3)),IF(T47=3,CONCATENATE(INDEX(Inputs!$C$4:$E$15,MATCH('Loan Entry'!J47,Months,0),3),",",INDEX(Inputs!$C$4:$E$15,MATCH(MONTH(L47+95),Inputs!$D$4:$D$15,0),3),",",INDEX(Inputs!$C$4:$E$15,MATCH(MONTH(L47+190),Inputs!$D$4:$D$15,0),3)),IF(T47=2,CONCATENATE(INDEX(Inputs!$C$4:$E$15,MATCH('Loan Entry'!J47,Months,0),3),",",INDEX(Inputs!$C$4:$E$15,MATCH(MONTH(L47+95),Inputs!$D$4:$D$15,0),3)),INDEX(Inputs!$C$4:$E$15,MATCH('Loan Entry'!J47,Months,0),3)))),INDEX(Inputs!$C$4:$F$15,MATCH('Loan Entry'!J47,Months,0),4)))),IF(M47="annual",INDEX(Inputs!$C$4:$E$15,MATCH('Loan Entry'!J47,Months,0),3),IF(M47="semi-annual",IF(T47=2,CONCATENATE(INDEX(Inputs!$C$4:$E$15,MATCH('Loan Entry'!J47,Months,0),3),",",INDEX(Inputs!$C$4:$E$15,MATCH(MONTH(L47+190),Inputs!$D$4:$D$15,0),3)),INDEX(Inputs!$C$4:$E$15,MATCH('Loan Entry'!J47,Months,0),3)),IF(M47="Quarterly",IF(T47=4,CONCATENATE(INDEX(Inputs!$C$4:$E$15,MATCH('Loan Entry'!J47,Months,0),3),",",INDEX(Inputs!$C$4:$E$15,MATCH(MONTH(L47+95),Inputs!$D$4:$D$15,0),3),",",INDEX(Inputs!$C$4:$E$15,MATCH(MONTH(L47+190),Inputs!$D$4:$D$15,0),3),",",INDEX(Inputs!$C$4:$E$15,MATCH(MONTH(L47+275),Inputs!$D$4:$D$15,0),3)),IF(T47=3,CONCATENATE(INDEX(Inputs!$C$4:$E$15,MATCH('Loan Entry'!J47,Months,0),3),",",INDEX(Inputs!$C$4:$E$15,MATCH(MONTH(L47+95),Inputs!$D$4:$D$15,0),3),",",INDEX(Inputs!$C$4:$E$15,MATCH(MONTH(L47+190),Inputs!$D$4:$D$15,0),3)),IF(T47=2,CONCATENATE(INDEX(Inputs!$C$4:$E$15,MATCH('Loan Entry'!J47,Months,0),3),",",INDEX(Inputs!$C$4:$E$15,MATCH(MONTH(L47+95),Inputs!$D$4:$D$15,0),3)),INDEX(Inputs!$C$4:$G$15,MATCH('Loan Entry'!J47,Months,0),3)))),INDEX(Inputs!$C$4:$G$15,MATCH('Loan Entry'!N47,Months,0),5))))),"")</f>
        <v/>
      </c>
      <c r="AC47" s="923" t="str">
        <f>IF('Loan Entry'!$M47&gt;0,PMT((365/360)*'Loan Entry'!$E47/'Loan Entry'!$Q47,'Loan Entry'!$O47,'Loan Entry'!$F47*-1)*MIN('Loan Entry'!$Q47,O47),"")</f>
        <v/>
      </c>
      <c r="AD47" s="924" t="str">
        <f>IF(F47&gt;0,IF('Loan Entry'!$M47&lt;&gt;0,IF(U47=1,X47,IF(E47=0,U47*X47,X47)),'Loan Entry'!$AC47),"")</f>
        <v/>
      </c>
      <c r="AE47" s="929" t="str">
        <f>IF('Loan Entry'!$M47&gt;0,'Loan Entry'!$F47-'Loan Entry'!$AD47,"")</f>
        <v/>
      </c>
      <c r="AF47" s="651" t="str">
        <f>IF(AE47&gt;0,AC47,0)</f>
        <v/>
      </c>
      <c r="AG47" s="651"/>
      <c r="AH47" s="667" t="str">
        <f>IF(AE47&lt;&gt;0,IF(AE47&lt;AD47,AE47,IF(E47&gt;0,IF('Loan Entry'!$M47&lt;&gt;0,CUMPRINC(E47/Q47,(O47-T47),AE47,1,T47,0)*-1,),'Loan Entry'!$AC47)),0)</f>
        <v/>
      </c>
      <c r="AI47" s="667">
        <f>IF(M47&gt;0,AE47-AH47,0)</f>
        <v>0</v>
      </c>
    </row>
    <row r="48" spans="1:35" ht="24.95" customHeight="1" x14ac:dyDescent="0.2">
      <c r="A48" s="460" t="str">
        <f>IF('Loan Entry'!$M48&gt;0,DATE((G48+1),1,1),"")</f>
        <v/>
      </c>
      <c r="B48" s="337"/>
      <c r="C48" s="338"/>
      <c r="D48" s="338"/>
      <c r="E48" s="939"/>
      <c r="F48" s="339"/>
      <c r="G48" s="340"/>
      <c r="H48" s="450" t="str">
        <f>IF(I48&gt;0,ROUNDDOWN(Year+I48,0),"")</f>
        <v/>
      </c>
      <c r="I48" s="340"/>
      <c r="J48" s="340"/>
      <c r="K48" s="450" t="e">
        <f>IF(H48&gt;0,IF(H48-Year=0,"yes","no"),"")</f>
        <v>#VALUE!</v>
      </c>
      <c r="L48" s="450" t="str">
        <f>IF('Loan Entry'!$J48&gt;0,DATE(G48,INDEX(Inputs!$C$4:$D$15,MATCH(J48,Months,0),2),1),"")</f>
        <v/>
      </c>
      <c r="M48" s="340"/>
      <c r="N48" s="450" t="str">
        <f>IF(M48&lt;&gt;0,IF(AND(K48="yes",M48="Monthly")=TRUE,CHOOSE(R48,"January","February","March","April","May","June","July","August","September","October","November","December"),RIGHT(AB48,3)),"")</f>
        <v/>
      </c>
      <c r="O48" s="581" t="str">
        <f>IF('Loan Entry'!$M48&gt;0,'Loan Entry'!$I48*'Loan Entry'!$Q48,"")</f>
        <v/>
      </c>
      <c r="P48" s="581" t="str">
        <f>IF(M48&gt;0,(H48-(G48-1))*IF(M48="Monthly",12,IF(M48="Quarterly",4,IF(M48="Semi-Annual",2,1))),"")</f>
        <v/>
      </c>
      <c r="Q48" s="581" t="str">
        <f>IF(M48&gt;0,IF(M48="Monthly",12,IF(M48="Quarterly",4,IF(M48="Semi-Annual",2,1))),"")</f>
        <v/>
      </c>
      <c r="R48" s="581" t="str">
        <f>IF(M48&gt;0,IF(I48&lt;1,IF(M48="Annual",1,(YEARFRAC(L48,A48,))*IF(M48="Monthly",O48,IF(M48="quarterly",O48*3,IF(M48="semi-annual",O48*2,12)))),IF(M48="Annual",1,(YEARFRAC(L48,A48,))*12)),"")</f>
        <v/>
      </c>
      <c r="S48" s="581">
        <f>IF(M48&gt;0,INDEX(Inputs!$J$26:$K$37,MATCH('Loan Entry'!N48,Inputs!$J$26:$J$37,0),2)/12,0)</f>
        <v>0</v>
      </c>
      <c r="T48" s="581" t="str">
        <f>IF(M48&lt;&gt;0,IF(R48&gt;12,12,ROUNDUP(IF(M48="Monthly",12*(R48/Q48),IF(M48="Quarterly",((R48/12)*Q48),IF(M48="Semi-Annual",IF(((R48/12)*Q48)&gt;1,2,1),1))),0)),"")</f>
        <v/>
      </c>
      <c r="U48" s="581" t="str">
        <f>IF(M48&gt;0,T48/Q48,"")</f>
        <v/>
      </c>
      <c r="V48" s="581" t="str">
        <f>IF('Loan Entry'!$M48&gt;0,IF(U48=1,X48/T48,(X48/T48)),"")</f>
        <v/>
      </c>
      <c r="W48" s="581" t="str">
        <f>IF('Loan Entry'!$M48&gt;0,IF(U48=1,Y48/T48,U48*(Y48/T48)),"")</f>
        <v/>
      </c>
      <c r="X48" s="581" t="str">
        <f>IF(E48&gt;0,IF('Loan Entry'!$M48&lt;&gt;0,CUMPRINC((365/360)*E48/Q48,O48,F48,1,T48,0)*-1,),'Loan Entry'!$AC48)</f>
        <v/>
      </c>
      <c r="Y48" s="581">
        <f>IF(E48&gt;0,IF('Loan Entry'!$M48&lt;&gt;0,CUMIPMT(((365/360)*E48)/Q48,O48,F48,1,T48,0)*-1,),0)</f>
        <v>0</v>
      </c>
      <c r="Z48" s="581">
        <f>IF(ISERROR(S48*IF(E48&gt;0,IF('Loan Entry'!$M48&lt;&gt;0,CUMIPMT(((365/360)*E48)/Q48,O48,F48,1,T48,0)*-1,),0))=FALSE,S48*IF(E48&gt;0,IF('Loan Entry'!$M48&lt;&gt;0,CUMIPMT(((365/360)*E48)/Q48,O48,F48,1,T48,0)*-1,),0),0)</f>
        <v>0</v>
      </c>
      <c r="AA48" s="581">
        <f>IF(ISERROR(S48*IF(E48&gt;0,IF('Loan Entry'!$M48&lt;&gt;0,CUMIPMT(((365/360)*E48)/Q48,O48-T48,F48,1+T48,T48+T48,0)*-1,),0))=FALSE,S48*IF(E48&gt;0,IF('Loan Entry'!$M48&lt;&gt;0,CUMIPMT(((365/360)*E48)/Q48,O48-T48,F48,1+T48,T48+T48,0)*-1,),0),0)</f>
        <v>0</v>
      </c>
      <c r="AB48" s="581" t="str">
        <f>IF(M48&lt;&gt;0,IF(K48="no",IF(M48="annual",INDEX(Inputs!$C$4:$E$15,MATCH('Loan Entry'!J48,Months,0),3),IF(M48="semi-annual",IF(T48=2,CONCATENATE(INDEX(Inputs!$C$4:$E$15,MATCH('Loan Entry'!J48,Months,0),3),",",INDEX(Inputs!$C$4:$E$15,MATCH(MONTH(L48+190),Inputs!$D$4:$D$15,0),3)),INDEX(Inputs!$C$4:$E$15,MATCH('Loan Entry'!J48,Months,0),3)),IF(M48="Quarterly",IF(T48=4,CONCATENATE(INDEX(Inputs!$C$4:$E$15,MATCH('Loan Entry'!J48,Months,0),3),",",INDEX(Inputs!$C$4:$E$15,MATCH(MONTH(L48+95),Inputs!$D$4:$D$15,0),3),",",INDEX(Inputs!$C$4:$E$15,MATCH(MONTH(L48+190),Inputs!$D$4:$D$15,0),3),",",INDEX(Inputs!$C$4:$E$15,MATCH(MONTH(L48+275),Inputs!$D$4:$D$15,0),3)),IF(T48=3,CONCATENATE(INDEX(Inputs!$C$4:$E$15,MATCH('Loan Entry'!J48,Months,0),3),",",INDEX(Inputs!$C$4:$E$15,MATCH(MONTH(L48+95),Inputs!$D$4:$D$15,0),3),",",INDEX(Inputs!$C$4:$E$15,MATCH(MONTH(L48+190),Inputs!$D$4:$D$15,0),3)),IF(T48=2,CONCATENATE(INDEX(Inputs!$C$4:$E$15,MATCH('Loan Entry'!J48,Months,0),3),",",INDEX(Inputs!$C$4:$E$15,MATCH(MONTH(L48+95),Inputs!$D$4:$D$15,0),3)),INDEX(Inputs!$C$4:$E$15,MATCH('Loan Entry'!J48,Months,0),3)))),INDEX(Inputs!$C$4:$F$15,MATCH('Loan Entry'!J48,Months,0),4)))),IF(M48="annual",INDEX(Inputs!$C$4:$E$15,MATCH('Loan Entry'!J48,Months,0),3),IF(M48="semi-annual",IF(T48=2,CONCATENATE(INDEX(Inputs!$C$4:$E$15,MATCH('Loan Entry'!J48,Months,0),3),",",INDEX(Inputs!$C$4:$E$15,MATCH(MONTH(L48+190),Inputs!$D$4:$D$15,0),3)),INDEX(Inputs!$C$4:$E$15,MATCH('Loan Entry'!J48,Months,0),3)),IF(M48="Quarterly",IF(T48=4,CONCATENATE(INDEX(Inputs!$C$4:$E$15,MATCH('Loan Entry'!J48,Months,0),3),",",INDEX(Inputs!$C$4:$E$15,MATCH(MONTH(L48+95),Inputs!$D$4:$D$15,0),3),",",INDEX(Inputs!$C$4:$E$15,MATCH(MONTH(L48+190),Inputs!$D$4:$D$15,0),3),",",INDEX(Inputs!$C$4:$E$15,MATCH(MONTH(L48+275),Inputs!$D$4:$D$15,0),3)),IF(T48=3,CONCATENATE(INDEX(Inputs!$C$4:$E$15,MATCH('Loan Entry'!J48,Months,0),3),",",INDEX(Inputs!$C$4:$E$15,MATCH(MONTH(L48+95),Inputs!$D$4:$D$15,0),3),",",INDEX(Inputs!$C$4:$E$15,MATCH(MONTH(L48+190),Inputs!$D$4:$D$15,0),3)),IF(T48=2,CONCATENATE(INDEX(Inputs!$C$4:$E$15,MATCH('Loan Entry'!J48,Months,0),3),",",INDEX(Inputs!$C$4:$E$15,MATCH(MONTH(L48+95),Inputs!$D$4:$D$15,0),3)),INDEX(Inputs!$C$4:$G$15,MATCH('Loan Entry'!J48,Months,0),3)))),INDEX(Inputs!$C$4:$G$15,MATCH('Loan Entry'!N48,Months,0),5))))),"")</f>
        <v/>
      </c>
      <c r="AC48" s="925" t="str">
        <f>IF('Loan Entry'!$M48&gt;0,PMT((365/360)*'Loan Entry'!$E48/'Loan Entry'!$Q48,'Loan Entry'!$O48,'Loan Entry'!$F48*-1)*MIN('Loan Entry'!$Q48,O48),"")</f>
        <v/>
      </c>
      <c r="AD48" s="926" t="str">
        <f>IF(F48&gt;0,IF('Loan Entry'!$M48&lt;&gt;0,IF(U48=1,X48,IF(E48=0,U48*X48,X48)),'Loan Entry'!$AC48),"")</f>
        <v/>
      </c>
      <c r="AE48" s="930" t="str">
        <f>IF('Loan Entry'!$M48&gt;0,'Loan Entry'!$F48-'Loan Entry'!$AD48,"")</f>
        <v/>
      </c>
      <c r="AF48" s="651" t="str">
        <f>IF(AE48&gt;0,AC48,0)</f>
        <v/>
      </c>
      <c r="AG48" s="651"/>
      <c r="AH48" s="667" t="str">
        <f>IF(AE48&lt;&gt;0,IF(AE48&lt;AD48,AE48,IF(E48&gt;0,IF('Loan Entry'!$M48&lt;&gt;0,CUMPRINC(E48/Q48,(O48-T48),AE48,1,T48,0)*-1,),'Loan Entry'!$AC48)),0)</f>
        <v/>
      </c>
      <c r="AI48" s="667">
        <f>IF(M48&gt;0,AE48-AH48,0)</f>
        <v>0</v>
      </c>
    </row>
    <row r="49" spans="1:35" ht="24.95" customHeight="1" x14ac:dyDescent="0.2">
      <c r="A49" s="460" t="str">
        <f>IF('Loan Entry'!$M49&gt;0,DATE((G49+1),1,1),"")</f>
        <v/>
      </c>
      <c r="B49" s="341"/>
      <c r="C49" s="342"/>
      <c r="D49" s="342"/>
      <c r="E49" s="940"/>
      <c r="F49" s="343"/>
      <c r="G49" s="344"/>
      <c r="H49" s="451" t="str">
        <f>IF(I49&gt;0,ROUNDDOWN(Year+I49,0),"")</f>
        <v/>
      </c>
      <c r="I49" s="344"/>
      <c r="J49" s="344"/>
      <c r="K49" s="451" t="e">
        <f>IF(H49&gt;0,IF(H49-Year=0,"yes","no"),"")</f>
        <v>#VALUE!</v>
      </c>
      <c r="L49" s="451" t="str">
        <f>IF('Loan Entry'!$J49&gt;0,DATE(G49,INDEX(Inputs!$C$4:$D$15,MATCH(J49,Months,0),2),1),"")</f>
        <v/>
      </c>
      <c r="M49" s="344"/>
      <c r="N49" s="451" t="str">
        <f>IF(M49&lt;&gt;0,IF(AND(K49="yes",M49="Monthly")=TRUE,CHOOSE(R49,"January","February","March","April","May","June","July","August","September","October","November","December"),RIGHT(AB49,3)),"")</f>
        <v/>
      </c>
      <c r="O49" s="583" t="str">
        <f>IF('Loan Entry'!$M49&gt;0,'Loan Entry'!$I49*'Loan Entry'!$Q49,"")</f>
        <v/>
      </c>
      <c r="P49" s="583" t="str">
        <f>IF(M49&gt;0,(H49-(G49-1))*IF(M49="Monthly",12,IF(M49="Quarterly",4,IF(M49="Semi-Annual",2,1))),"")</f>
        <v/>
      </c>
      <c r="Q49" s="583" t="str">
        <f>IF(M49&gt;0,IF(M49="Monthly",12,IF(M49="Quarterly",4,IF(M49="Semi-Annual",2,1))),"")</f>
        <v/>
      </c>
      <c r="R49" s="583" t="str">
        <f>IF(M49&gt;0,IF(I49&lt;1,IF(M49="Annual",1,(YEARFRAC(L49,A49,))*IF(M49="Monthly",O49,IF(M49="quarterly",O49*3,IF(M49="semi-annual",O49*2,12)))),IF(M49="Annual",1,(YEARFRAC(L49,A49,))*12)),"")</f>
        <v/>
      </c>
      <c r="S49" s="583">
        <f>IF(M49&gt;0,INDEX(Inputs!$J$26:$K$37,MATCH('Loan Entry'!N49,Inputs!$J$26:$J$37,0),2)/12,0)</f>
        <v>0</v>
      </c>
      <c r="T49" s="583" t="str">
        <f>IF(M49&lt;&gt;0,IF(R49&gt;12,12,ROUNDUP(IF(M49="Monthly",12*(R49/Q49),IF(M49="Quarterly",((R49/12)*Q49),IF(M49="Semi-Annual",IF(((R49/12)*Q49)&gt;1,2,1),1))),0)),"")</f>
        <v/>
      </c>
      <c r="U49" s="583" t="str">
        <f>IF(M49&gt;0,T49/Q49,"")</f>
        <v/>
      </c>
      <c r="V49" s="583" t="str">
        <f>IF('Loan Entry'!$M49&gt;0,IF(U49=1,X49/T49,(X49/T49)),"")</f>
        <v/>
      </c>
      <c r="W49" s="583" t="str">
        <f>IF('Loan Entry'!$M49&gt;0,IF(U49=1,Y49/T49,U49*(Y49/T49)),"")</f>
        <v/>
      </c>
      <c r="X49" s="583" t="str">
        <f>IF(E49&gt;0,IF('Loan Entry'!$M49&lt;&gt;0,CUMPRINC((365/360)*E49/Q49,O49,F49,1,T49,0)*-1,),'Loan Entry'!$AC49)</f>
        <v/>
      </c>
      <c r="Y49" s="583">
        <f>IF(E49&gt;0,IF('Loan Entry'!$M49&lt;&gt;0,CUMIPMT(((365/360)*E49)/Q49,O49,F49,1,T49,0)*-1,),0)</f>
        <v>0</v>
      </c>
      <c r="Z49" s="583">
        <f>IF(ISERROR(S49*IF(E49&gt;0,IF('Loan Entry'!$M49&lt;&gt;0,CUMIPMT(((365/360)*E49)/Q49,O49,F49,1,T49,0)*-1,),0))=FALSE,S49*IF(E49&gt;0,IF('Loan Entry'!$M49&lt;&gt;0,CUMIPMT(((365/360)*E49)/Q49,O49,F49,1,T49,0)*-1,),0),0)</f>
        <v>0</v>
      </c>
      <c r="AA49" s="583">
        <f>IF(ISERROR(S49*IF(E49&gt;0,IF('Loan Entry'!$M49&lt;&gt;0,CUMIPMT(((365/360)*E49)/Q49,O49-T49,F49,1+T49,T49+T49,0)*-1,),0))=FALSE,S49*IF(E49&gt;0,IF('Loan Entry'!$M49&lt;&gt;0,CUMIPMT(((365/360)*E49)/Q49,O49-T49,F49,1+T49,T49+T49,0)*-1,),0),0)</f>
        <v>0</v>
      </c>
      <c r="AB49" s="583" t="str">
        <f>IF(M49&lt;&gt;0,IF(K49="no",IF(M49="annual",INDEX(Inputs!$C$4:$E$15,MATCH('Loan Entry'!J49,Months,0),3),IF(M49="semi-annual",IF(T49=2,CONCATENATE(INDEX(Inputs!$C$4:$E$15,MATCH('Loan Entry'!J49,Months,0),3),",",INDEX(Inputs!$C$4:$E$15,MATCH(MONTH(L49+190),Inputs!$D$4:$D$15,0),3)),INDEX(Inputs!$C$4:$E$15,MATCH('Loan Entry'!J49,Months,0),3)),IF(M49="Quarterly",IF(T49=4,CONCATENATE(INDEX(Inputs!$C$4:$E$15,MATCH('Loan Entry'!J49,Months,0),3),",",INDEX(Inputs!$C$4:$E$15,MATCH(MONTH(L49+95),Inputs!$D$4:$D$15,0),3),",",INDEX(Inputs!$C$4:$E$15,MATCH(MONTH(L49+190),Inputs!$D$4:$D$15,0),3),",",INDEX(Inputs!$C$4:$E$15,MATCH(MONTH(L49+275),Inputs!$D$4:$D$15,0),3)),IF(T49=3,CONCATENATE(INDEX(Inputs!$C$4:$E$15,MATCH('Loan Entry'!J49,Months,0),3),",",INDEX(Inputs!$C$4:$E$15,MATCH(MONTH(L49+95),Inputs!$D$4:$D$15,0),3),",",INDEX(Inputs!$C$4:$E$15,MATCH(MONTH(L49+190),Inputs!$D$4:$D$15,0),3)),IF(T49=2,CONCATENATE(INDEX(Inputs!$C$4:$E$15,MATCH('Loan Entry'!J49,Months,0),3),",",INDEX(Inputs!$C$4:$E$15,MATCH(MONTH(L49+95),Inputs!$D$4:$D$15,0),3)),INDEX(Inputs!$C$4:$E$15,MATCH('Loan Entry'!J49,Months,0),3)))),INDEX(Inputs!$C$4:$F$15,MATCH('Loan Entry'!J49,Months,0),4)))),IF(M49="annual",INDEX(Inputs!$C$4:$E$15,MATCH('Loan Entry'!J49,Months,0),3),IF(M49="semi-annual",IF(T49=2,CONCATENATE(INDEX(Inputs!$C$4:$E$15,MATCH('Loan Entry'!J49,Months,0),3),",",INDEX(Inputs!$C$4:$E$15,MATCH(MONTH(L49+190),Inputs!$D$4:$D$15,0),3)),INDEX(Inputs!$C$4:$E$15,MATCH('Loan Entry'!J49,Months,0),3)),IF(M49="Quarterly",IF(T49=4,CONCATENATE(INDEX(Inputs!$C$4:$E$15,MATCH('Loan Entry'!J49,Months,0),3),",",INDEX(Inputs!$C$4:$E$15,MATCH(MONTH(L49+95),Inputs!$D$4:$D$15,0),3),",",INDEX(Inputs!$C$4:$E$15,MATCH(MONTH(L49+190),Inputs!$D$4:$D$15,0),3),",",INDEX(Inputs!$C$4:$E$15,MATCH(MONTH(L49+275),Inputs!$D$4:$D$15,0),3)),IF(T49=3,CONCATENATE(INDEX(Inputs!$C$4:$E$15,MATCH('Loan Entry'!J49,Months,0),3),",",INDEX(Inputs!$C$4:$E$15,MATCH(MONTH(L49+95),Inputs!$D$4:$D$15,0),3),",",INDEX(Inputs!$C$4:$E$15,MATCH(MONTH(L49+190),Inputs!$D$4:$D$15,0),3)),IF(T49=2,CONCATENATE(INDEX(Inputs!$C$4:$E$15,MATCH('Loan Entry'!J49,Months,0),3),",",INDEX(Inputs!$C$4:$E$15,MATCH(MONTH(L49+95),Inputs!$D$4:$D$15,0),3)),INDEX(Inputs!$C$4:$G$15,MATCH('Loan Entry'!J49,Months,0),3)))),INDEX(Inputs!$C$4:$G$15,MATCH('Loan Entry'!N49,Months,0),5))))),"")</f>
        <v/>
      </c>
      <c r="AC49" s="927" t="str">
        <f>IF('Loan Entry'!$M49&gt;0,PMT((365/360)*'Loan Entry'!$E49/'Loan Entry'!$Q49,'Loan Entry'!$O49,'Loan Entry'!$F49*-1)*MIN('Loan Entry'!$Q49,O49),"")</f>
        <v/>
      </c>
      <c r="AD49" s="928" t="str">
        <f>IF(F49&gt;0,IF('Loan Entry'!$M49&lt;&gt;0,IF(U49=1,X49,IF(E49=0,U49*X49,X49)),'Loan Entry'!$AC49),"")</f>
        <v/>
      </c>
      <c r="AE49" s="931" t="str">
        <f>IF('Loan Entry'!$M49&gt;0,'Loan Entry'!$F49-'Loan Entry'!$AD49,"")</f>
        <v/>
      </c>
      <c r="AF49" s="651" t="str">
        <f>IF(AE49&gt;0,AC49,0)</f>
        <v/>
      </c>
      <c r="AG49" s="651"/>
      <c r="AH49" s="667" t="str">
        <f>IF(AE49&lt;&gt;0,IF(AE49&lt;AD49,AE49,IF(E49&gt;0,IF('Loan Entry'!$M49&lt;&gt;0,CUMPRINC(E49/Q49,(O49-T49),AE49,1,T49,0)*-1,),'Loan Entry'!$AC49)),0)</f>
        <v/>
      </c>
      <c r="AI49" s="667">
        <f>IF(M49&gt;0,AE49-AH49,0)</f>
        <v>0</v>
      </c>
    </row>
    <row r="50" spans="1:35" ht="24.95" customHeight="1" x14ac:dyDescent="0.2">
      <c r="A50" s="460" t="str">
        <f>IF('Loan Entry'!$M50&gt;0,DATE((G50+1),1,1),"")</f>
        <v/>
      </c>
      <c r="B50" s="337"/>
      <c r="C50" s="338"/>
      <c r="D50" s="338"/>
      <c r="E50" s="939"/>
      <c r="F50" s="339"/>
      <c r="G50" s="340"/>
      <c r="H50" s="450" t="str">
        <f>IF(I50&gt;0,ROUNDDOWN(Year+I50,0),"")</f>
        <v/>
      </c>
      <c r="I50" s="340"/>
      <c r="J50" s="340"/>
      <c r="K50" s="450" t="e">
        <f>IF(H50&gt;0,IF(H50-Year=0,"yes","no"),"")</f>
        <v>#VALUE!</v>
      </c>
      <c r="L50" s="450" t="str">
        <f>IF('Loan Entry'!$J50&gt;0,DATE(G50,INDEX(Inputs!$C$4:$D$15,MATCH(J50,Months,0),2),1),"")</f>
        <v/>
      </c>
      <c r="M50" s="340"/>
      <c r="N50" s="450" t="str">
        <f>IF(M50&lt;&gt;0,IF(AND(K50="yes",M50="Monthly")=TRUE,CHOOSE(R50,"January","February","March","April","May","June","July","August","September","October","November","December"),RIGHT(AB50,3)),"")</f>
        <v/>
      </c>
      <c r="O50" s="581" t="str">
        <f>IF('Loan Entry'!$M50&gt;0,'Loan Entry'!$I50*'Loan Entry'!$Q50,"")</f>
        <v/>
      </c>
      <c r="P50" s="581" t="str">
        <f>IF(M50&gt;0,(H50-(G50-1))*IF(M50="Monthly",12,IF(M50="Quarterly",4,IF(M50="Semi-Annual",2,1))),"")</f>
        <v/>
      </c>
      <c r="Q50" s="581" t="str">
        <f>IF(M50&gt;0,IF(M50="Monthly",12,IF(M50="Quarterly",4,IF(M50="Semi-Annual",2,1))),"")</f>
        <v/>
      </c>
      <c r="R50" s="581" t="str">
        <f>IF(M50&gt;0,IF(I50&lt;1,IF(M50="Annual",1,(YEARFRAC(L50,A50,))*IF(M50="Monthly",O50,IF(M50="quarterly",O50*3,IF(M50="semi-annual",O50*2,12)))),IF(M50="Annual",1,(YEARFRAC(L50,A50,))*12)),"")</f>
        <v/>
      </c>
      <c r="S50" s="581">
        <f>IF(M50&gt;0,INDEX(Inputs!$J$26:$K$37,MATCH('Loan Entry'!N50,Inputs!$J$26:$J$37,0),2)/12,0)</f>
        <v>0</v>
      </c>
      <c r="T50" s="581" t="str">
        <f>IF(M50&lt;&gt;0,IF(R50&gt;12,12,ROUNDUP(IF(M50="Monthly",12*(R50/Q50),IF(M50="Quarterly",((R50/12)*Q50),IF(M50="Semi-Annual",IF(((R50/12)*Q50)&gt;1,2,1),1))),0)),"")</f>
        <v/>
      </c>
      <c r="U50" s="581" t="str">
        <f>IF(M50&gt;0,T50/Q50,"")</f>
        <v/>
      </c>
      <c r="V50" s="581" t="str">
        <f>IF('Loan Entry'!$M50&gt;0,IF(U50=1,X50/T50,(X50/T50)),"")</f>
        <v/>
      </c>
      <c r="W50" s="581" t="str">
        <f>IF('Loan Entry'!$M50&gt;0,IF(U50=1,Y50/T50,U50*(Y50/T50)),"")</f>
        <v/>
      </c>
      <c r="X50" s="581" t="str">
        <f>IF(E50&gt;0,IF('Loan Entry'!$M50&lt;&gt;0,CUMPRINC((365/360)*E50/Q50,O50,F50,1,T50,0)*-1,),'Loan Entry'!$AC50)</f>
        <v/>
      </c>
      <c r="Y50" s="581">
        <f>IF(E50&gt;0,IF('Loan Entry'!$M50&lt;&gt;0,CUMIPMT(((365/360)*E50)/Q50,O50,F50,1,T50,0)*-1,),0)</f>
        <v>0</v>
      </c>
      <c r="Z50" s="581">
        <f>IF(ISERROR(S50*IF(E50&gt;0,IF('Loan Entry'!$M50&lt;&gt;0,CUMIPMT(((365/360)*E50)/Q50,O50,F50,1,T50,0)*-1,),0))=FALSE,S50*IF(E50&gt;0,IF('Loan Entry'!$M50&lt;&gt;0,CUMIPMT(((365/360)*E50)/Q50,O50,F50,1,T50,0)*-1,),0),0)</f>
        <v>0</v>
      </c>
      <c r="AA50" s="581">
        <f>IF(ISERROR(S50*IF(E50&gt;0,IF('Loan Entry'!$M50&lt;&gt;0,CUMIPMT(((365/360)*E50)/Q50,O50-T50,F50,1+T50,T50+T50,0)*-1,),0))=FALSE,S50*IF(E50&gt;0,IF('Loan Entry'!$M50&lt;&gt;0,CUMIPMT(((365/360)*E50)/Q50,O50-T50,F50,1+T50,T50+T50,0)*-1,),0),0)</f>
        <v>0</v>
      </c>
      <c r="AB50" s="581" t="str">
        <f>IF(M50&lt;&gt;0,IF(K50="no",IF(M50="annual",INDEX(Inputs!$C$4:$E$15,MATCH('Loan Entry'!J50,Months,0),3),IF(M50="semi-annual",IF(T50=2,CONCATENATE(INDEX(Inputs!$C$4:$E$15,MATCH('Loan Entry'!J50,Months,0),3),",",INDEX(Inputs!$C$4:$E$15,MATCH(MONTH(L50+190),Inputs!$D$4:$D$15,0),3)),INDEX(Inputs!$C$4:$E$15,MATCH('Loan Entry'!J50,Months,0),3)),IF(M50="Quarterly",IF(T50=4,CONCATENATE(INDEX(Inputs!$C$4:$E$15,MATCH('Loan Entry'!J50,Months,0),3),",",INDEX(Inputs!$C$4:$E$15,MATCH(MONTH(L50+95),Inputs!$D$4:$D$15,0),3),",",INDEX(Inputs!$C$4:$E$15,MATCH(MONTH(L50+190),Inputs!$D$4:$D$15,0),3),",",INDEX(Inputs!$C$4:$E$15,MATCH(MONTH(L50+275),Inputs!$D$4:$D$15,0),3)),IF(T50=3,CONCATENATE(INDEX(Inputs!$C$4:$E$15,MATCH('Loan Entry'!J50,Months,0),3),",",INDEX(Inputs!$C$4:$E$15,MATCH(MONTH(L50+95),Inputs!$D$4:$D$15,0),3),",",INDEX(Inputs!$C$4:$E$15,MATCH(MONTH(L50+190),Inputs!$D$4:$D$15,0),3)),IF(T50=2,CONCATENATE(INDEX(Inputs!$C$4:$E$15,MATCH('Loan Entry'!J50,Months,0),3),",",INDEX(Inputs!$C$4:$E$15,MATCH(MONTH(L50+95),Inputs!$D$4:$D$15,0),3)),INDEX(Inputs!$C$4:$E$15,MATCH('Loan Entry'!J50,Months,0),3)))),INDEX(Inputs!$C$4:$F$15,MATCH('Loan Entry'!J50,Months,0),4)))),IF(M50="annual",INDEX(Inputs!$C$4:$E$15,MATCH('Loan Entry'!J50,Months,0),3),IF(M50="semi-annual",IF(T50=2,CONCATENATE(INDEX(Inputs!$C$4:$E$15,MATCH('Loan Entry'!J50,Months,0),3),",",INDEX(Inputs!$C$4:$E$15,MATCH(MONTH(L50+190),Inputs!$D$4:$D$15,0),3)),INDEX(Inputs!$C$4:$E$15,MATCH('Loan Entry'!J50,Months,0),3)),IF(M50="Quarterly",IF(T50=4,CONCATENATE(INDEX(Inputs!$C$4:$E$15,MATCH('Loan Entry'!J50,Months,0),3),",",INDEX(Inputs!$C$4:$E$15,MATCH(MONTH(L50+95),Inputs!$D$4:$D$15,0),3),",",INDEX(Inputs!$C$4:$E$15,MATCH(MONTH(L50+190),Inputs!$D$4:$D$15,0),3),",",INDEX(Inputs!$C$4:$E$15,MATCH(MONTH(L50+275),Inputs!$D$4:$D$15,0),3)),IF(T50=3,CONCATENATE(INDEX(Inputs!$C$4:$E$15,MATCH('Loan Entry'!J50,Months,0),3),",",INDEX(Inputs!$C$4:$E$15,MATCH(MONTH(L50+95),Inputs!$D$4:$D$15,0),3),",",INDEX(Inputs!$C$4:$E$15,MATCH(MONTH(L50+190),Inputs!$D$4:$D$15,0),3)),IF(T50=2,CONCATENATE(INDEX(Inputs!$C$4:$E$15,MATCH('Loan Entry'!J50,Months,0),3),",",INDEX(Inputs!$C$4:$E$15,MATCH(MONTH(L50+95),Inputs!$D$4:$D$15,0),3)),INDEX(Inputs!$C$4:$G$15,MATCH('Loan Entry'!J50,Months,0),3)))),INDEX(Inputs!$C$4:$G$15,MATCH('Loan Entry'!N50,Months,0),5))))),"")</f>
        <v/>
      </c>
      <c r="AC50" s="925" t="str">
        <f>IF('Loan Entry'!$M50&gt;0,PMT((365/360)*'Loan Entry'!$E50/'Loan Entry'!$Q50,'Loan Entry'!$O50,'Loan Entry'!$F50*-1)*MIN('Loan Entry'!$Q50,O50),"")</f>
        <v/>
      </c>
      <c r="AD50" s="926" t="str">
        <f>IF(F50&gt;0,IF('Loan Entry'!$M50&lt;&gt;0,IF(U50=1,X50,IF(E50=0,U50*X50,X50)),'Loan Entry'!$AC50),"")</f>
        <v/>
      </c>
      <c r="AE50" s="930" t="str">
        <f>IF('Loan Entry'!$M50&gt;0,'Loan Entry'!$F50-'Loan Entry'!$AD50,"")</f>
        <v/>
      </c>
      <c r="AF50" s="651" t="str">
        <f>IF(AE50&gt;0,AC50,0)</f>
        <v/>
      </c>
      <c r="AG50" s="651"/>
      <c r="AH50" s="667" t="str">
        <f>IF(AE50&lt;&gt;0,IF(AE50&lt;AD50,AE50,IF(E50&gt;0,IF('Loan Entry'!$M50&lt;&gt;0,CUMPRINC(E50/Q50,(O50-T50),AE50,1,T50,0)*-1,),'Loan Entry'!$AC50)),0)</f>
        <v/>
      </c>
      <c r="AI50" s="667">
        <f>IF(M50&gt;0,AE50-AH50,0)</f>
        <v>0</v>
      </c>
    </row>
    <row r="51" spans="1:35" ht="24.95" customHeight="1" x14ac:dyDescent="0.2">
      <c r="A51" s="460" t="str">
        <f>IF('Loan Entry'!$M58&gt;0,DATE((G58+1),1,1),"")</f>
        <v/>
      </c>
      <c r="B51" s="952" t="str">
        <f>CONCATENATE("Sub-Total ",B45)</f>
        <v>Sub-Total Business Building Loans</v>
      </c>
      <c r="C51" s="952"/>
      <c r="D51" s="952"/>
      <c r="E51" s="952"/>
      <c r="F51" s="952"/>
      <c r="G51" s="952"/>
      <c r="H51" s="952"/>
      <c r="I51" s="952"/>
      <c r="J51" s="952"/>
      <c r="K51" s="952"/>
      <c r="L51" s="952"/>
      <c r="M51" s="952"/>
      <c r="N51" s="952"/>
      <c r="O51" s="952"/>
      <c r="P51" s="952"/>
      <c r="Q51" s="952"/>
      <c r="R51" s="952"/>
      <c r="S51" s="952"/>
      <c r="T51" s="952"/>
      <c r="U51" s="952"/>
      <c r="V51" s="952"/>
      <c r="W51" s="952"/>
      <c r="X51" s="952"/>
      <c r="Y51" s="952"/>
      <c r="Z51" s="952"/>
      <c r="AA51" s="952"/>
      <c r="AB51" s="952"/>
      <c r="AC51" s="952"/>
      <c r="AD51" s="279">
        <f>SUM('Loan Entry'!$AD$47:$AD$50)</f>
        <v>0</v>
      </c>
      <c r="AE51" s="279">
        <f>SUM('Loan Entry'!$AE$47:$AE$50)</f>
        <v>0</v>
      </c>
      <c r="AH51" s="667">
        <f>SUM(AH47:AH50)</f>
        <v>0</v>
      </c>
      <c r="AI51" s="667">
        <f>SUM(AI47:AI50)</f>
        <v>0</v>
      </c>
    </row>
    <row r="52" spans="1:35" s="94" customFormat="1" ht="24.95" customHeight="1" x14ac:dyDescent="0.2">
      <c r="A52" s="45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652"/>
      <c r="AG52" s="666"/>
      <c r="AH52" s="669"/>
      <c r="AI52" s="669"/>
    </row>
    <row r="53" spans="1:35" ht="24.95" customHeight="1" x14ac:dyDescent="0.2">
      <c r="B53" s="954" t="s">
        <v>33</v>
      </c>
      <c r="C53" s="954"/>
      <c r="D53" s="954"/>
      <c r="E53" s="954"/>
      <c r="F53" s="954"/>
      <c r="G53" s="954"/>
      <c r="H53" s="954"/>
      <c r="I53" s="954"/>
      <c r="J53" s="954"/>
      <c r="K53" s="954"/>
      <c r="L53" s="954"/>
      <c r="M53" s="954"/>
      <c r="N53" s="954"/>
      <c r="O53" s="954"/>
      <c r="P53" s="954"/>
      <c r="Q53" s="954"/>
      <c r="R53" s="954"/>
      <c r="S53" s="954"/>
      <c r="T53" s="954"/>
      <c r="U53" s="954"/>
      <c r="V53" s="954"/>
      <c r="W53" s="954"/>
      <c r="X53" s="954"/>
      <c r="Y53" s="954"/>
      <c r="Z53" s="954"/>
      <c r="AA53" s="954"/>
      <c r="AB53" s="954"/>
      <c r="AC53" s="954"/>
      <c r="AD53" s="954"/>
      <c r="AE53" s="954"/>
      <c r="AH53" s="667"/>
      <c r="AI53" s="667"/>
    </row>
    <row r="54" spans="1:35" ht="24.95" customHeight="1" thickBot="1" x14ac:dyDescent="0.25">
      <c r="B54" s="482" t="s">
        <v>91</v>
      </c>
      <c r="C54" s="483" t="s">
        <v>92</v>
      </c>
      <c r="D54" s="479" t="s">
        <v>176</v>
      </c>
      <c r="E54" s="484" t="s">
        <v>93</v>
      </c>
      <c r="F54" s="480" t="s">
        <v>115</v>
      </c>
      <c r="G54" s="480" t="s">
        <v>97</v>
      </c>
      <c r="H54" s="480" t="s">
        <v>231</v>
      </c>
      <c r="I54" s="485" t="s">
        <v>104</v>
      </c>
      <c r="J54" s="485" t="s">
        <v>182</v>
      </c>
      <c r="K54" s="570" t="s">
        <v>233</v>
      </c>
      <c r="L54" s="570" t="s">
        <v>236</v>
      </c>
      <c r="M54" s="480" t="s">
        <v>98</v>
      </c>
      <c r="N54" s="571" t="s">
        <v>234</v>
      </c>
      <c r="O54" s="571" t="s">
        <v>235</v>
      </c>
      <c r="P54" s="571" t="s">
        <v>232</v>
      </c>
      <c r="Q54" s="571" t="s">
        <v>107</v>
      </c>
      <c r="R54" s="571" t="s">
        <v>185</v>
      </c>
      <c r="S54" s="571" t="s">
        <v>438</v>
      </c>
      <c r="T54" s="571" t="s">
        <v>199</v>
      </c>
      <c r="U54" s="571" t="s">
        <v>205</v>
      </c>
      <c r="V54" s="571" t="s">
        <v>183</v>
      </c>
      <c r="W54" s="571" t="s">
        <v>184</v>
      </c>
      <c r="X54" s="571" t="s">
        <v>197</v>
      </c>
      <c r="Y54" s="571" t="s">
        <v>198</v>
      </c>
      <c r="Z54" s="571" t="s">
        <v>435</v>
      </c>
      <c r="AA54" s="571" t="s">
        <v>434</v>
      </c>
      <c r="AB54" s="571" t="s">
        <v>106</v>
      </c>
      <c r="AC54" s="485" t="s">
        <v>94</v>
      </c>
      <c r="AD54" s="485" t="s">
        <v>95</v>
      </c>
      <c r="AE54" s="485" t="s">
        <v>96</v>
      </c>
      <c r="AH54" s="667"/>
      <c r="AI54" s="667"/>
    </row>
    <row r="55" spans="1:35" ht="24.95" customHeight="1" thickTop="1" x14ac:dyDescent="0.2">
      <c r="A55" s="458" t="str">
        <f>IF('Loan Entry'!$M55&gt;0,DATE((G55+1),1,1),"")</f>
        <v/>
      </c>
      <c r="B55" s="333"/>
      <c r="C55" s="334"/>
      <c r="D55" s="334"/>
      <c r="E55" s="938"/>
      <c r="F55" s="335"/>
      <c r="G55" s="336"/>
      <c r="H55" s="449" t="str">
        <f>IF(I55&gt;0,ROUNDDOWN(Year+I55,0),"")</f>
        <v/>
      </c>
      <c r="I55" s="336"/>
      <c r="J55" s="336"/>
      <c r="K55" s="449" t="e">
        <f>IF(H55&gt;0,IF(H55-Year=0,"yes","no"),"")</f>
        <v>#VALUE!</v>
      </c>
      <c r="L55" s="449" t="str">
        <f>IF('Loan Entry'!$J55&gt;0,DATE(G55,INDEX(Inputs!$C$4:$D$15,MATCH(J55,Months,0),2),1),"")</f>
        <v/>
      </c>
      <c r="M55" s="336"/>
      <c r="N55" s="449" t="str">
        <f>IF(M55&lt;&gt;0,IF(AND(K55="yes",M55="Monthly")=TRUE,CHOOSE(R55,"January","February","March","April","May","June","July","August","September","October","November","December"),RIGHT(AB55,3)),"")</f>
        <v/>
      </c>
      <c r="O55" s="449" t="str">
        <f>IF('Loan Entry'!$M55&gt;0,'Loan Entry'!$I55*'Loan Entry'!$Q55,"")</f>
        <v/>
      </c>
      <c r="P55" s="449" t="str">
        <f>IF(M55&gt;0,(H55-(G55-1))*IF(M55="Monthly",12,IF(M55="Quarterly",4,IF(M55="Semi-Annual",2,1))),"")</f>
        <v/>
      </c>
      <c r="Q55" s="449" t="str">
        <f>IF(M55&gt;0,IF(M55="Monthly",12,IF(M55="Quarterly",4,IF(M55="Semi-Annual",2,1))),"")</f>
        <v/>
      </c>
      <c r="R55" s="449" t="str">
        <f>IF(M55&gt;0,IF(I55&lt;1,IF(M55="Annual",1,(YEARFRAC(L55,A55,))*IF(M55="Monthly",O55,IF(M55="quarterly",O55*3,IF(M55="semi-annual",O55*2,12)))),IF(M55="Annual",1,(YEARFRAC(L55,A55,))*12)),"")</f>
        <v/>
      </c>
      <c r="S55" s="449">
        <f>IF(M55&gt;0,INDEX(Inputs!$J$26:$K$37,MATCH('Loan Entry'!N55,Inputs!$J$26:$J$37,0),2)/12,0)</f>
        <v>0</v>
      </c>
      <c r="T55" s="449" t="str">
        <f>IF(M55&lt;&gt;0,IF(R55&gt;12,12,ROUNDUP(IF(M55="Monthly",12*(R55/Q55),IF(M55="Quarterly",((R55/12)*Q55),IF(M55="Semi-Annual",IF(((R55/12)*Q55)&gt;1,2,1),1))),0)),"")</f>
        <v/>
      </c>
      <c r="U55" s="449" t="str">
        <f>IF(M55&gt;0,T55/Q55,"")</f>
        <v/>
      </c>
      <c r="V55" s="449" t="str">
        <f>IF('Loan Entry'!$M55&gt;0,IF(U55=1,X55/T55,(X55/T55)),"")</f>
        <v/>
      </c>
      <c r="W55" s="449" t="str">
        <f>IF('Loan Entry'!$M55&gt;0,IF(U55=1,Y55/T55,U55*(Y55/T55)),"")</f>
        <v/>
      </c>
      <c r="X55" s="449" t="str">
        <f>IF(E55&gt;0,IF('Loan Entry'!$M55&lt;&gt;0,CUMPRINC((365/360)*E55/Q55,O55,F55,1,T55,0)*-1,),'Loan Entry'!$AC55)</f>
        <v/>
      </c>
      <c r="Y55" s="449">
        <f>IF(E55&gt;0,IF('Loan Entry'!$M55&lt;&gt;0,CUMIPMT(((365/360)*E55)/Q55,O55,F55,1,T55,0)*-1,),0)</f>
        <v>0</v>
      </c>
      <c r="Z55" s="449">
        <f>IF(ISERROR(S55*IF(E55&gt;0,IF('Loan Entry'!$M55&lt;&gt;0,CUMIPMT(((365/360)*E55)/Q55,O55,F55,1,T55,0)*-1,),0))=FALSE,S55*IF(E55&gt;0,IF('Loan Entry'!$M55&lt;&gt;0,CUMIPMT(((365/360)*E55)/Q55,O55,F55,1,T55,0)*-1,),0),0)</f>
        <v>0</v>
      </c>
      <c r="AA55" s="449">
        <f>IF(ISERROR(S55*IF(E55&gt;0,IF('Loan Entry'!$M55&lt;&gt;0,CUMIPMT(((365/360)*E55)/Q55,O55-T55,F55,1+T55,T55+T55,0)*-1,),0))=FALSE,S55*IF(E55&gt;0,IF('Loan Entry'!$M55&lt;&gt;0,CUMIPMT(((365/360)*E55)/Q55,O55-T55,F55,1+T55,T55+T55,0)*-1,),0),0)</f>
        <v>0</v>
      </c>
      <c r="AB55" s="449" t="str">
        <f>IF(M55&lt;&gt;0,IF(K55="no",IF(M55="annual",INDEX(Inputs!$C$4:$E$15,MATCH('Loan Entry'!J55,Months,0),3),IF(M55="semi-annual",IF(T55=2,CONCATENATE(INDEX(Inputs!$C$4:$E$15,MATCH('Loan Entry'!J55,Months,0),3),",",INDEX(Inputs!$C$4:$E$15,MATCH(MONTH(L55+190),Inputs!$D$4:$D$15,0),3)),INDEX(Inputs!$C$4:$E$15,MATCH('Loan Entry'!J55,Months,0),3)),IF(M55="Quarterly",IF(T55=4,CONCATENATE(INDEX(Inputs!$C$4:$E$15,MATCH('Loan Entry'!J55,Months,0),3),",",INDEX(Inputs!$C$4:$E$15,MATCH(MONTH(L55+95),Inputs!$D$4:$D$15,0),3),",",INDEX(Inputs!$C$4:$E$15,MATCH(MONTH(L55+190),Inputs!$D$4:$D$15,0),3),",",INDEX(Inputs!$C$4:$E$15,MATCH(MONTH(L55+275),Inputs!$D$4:$D$15,0),3)),IF(T55=3,CONCATENATE(INDEX(Inputs!$C$4:$E$15,MATCH('Loan Entry'!J55,Months,0),3),",",INDEX(Inputs!$C$4:$E$15,MATCH(MONTH(L55+95),Inputs!$D$4:$D$15,0),3),",",INDEX(Inputs!$C$4:$E$15,MATCH(MONTH(L55+190),Inputs!$D$4:$D$15,0),3)),IF(T55=2,CONCATENATE(INDEX(Inputs!$C$4:$E$15,MATCH('Loan Entry'!J55,Months,0),3),",",INDEX(Inputs!$C$4:$E$15,MATCH(MONTH(L55+95),Inputs!$D$4:$D$15,0),3)),INDEX(Inputs!$C$4:$E$15,MATCH('Loan Entry'!J55,Months,0),3)))),INDEX(Inputs!$C$4:$F$15,MATCH('Loan Entry'!J55,Months,0),4)))),IF(M55="annual",INDEX(Inputs!$C$4:$E$15,MATCH('Loan Entry'!J55,Months,0),3),IF(M55="semi-annual",IF(T55=2,CONCATENATE(INDEX(Inputs!$C$4:$E$15,MATCH('Loan Entry'!J55,Months,0),3),",",INDEX(Inputs!$C$4:$E$15,MATCH(MONTH(L55+190),Inputs!$D$4:$D$15,0),3)),INDEX(Inputs!$C$4:$E$15,MATCH('Loan Entry'!J55,Months,0),3)),IF(M55="Quarterly",IF(T55=4,CONCATENATE(INDEX(Inputs!$C$4:$E$15,MATCH('Loan Entry'!J55,Months,0),3),",",INDEX(Inputs!$C$4:$E$15,MATCH(MONTH(L55+95),Inputs!$D$4:$D$15,0),3),",",INDEX(Inputs!$C$4:$E$15,MATCH(MONTH(L55+190),Inputs!$D$4:$D$15,0),3),",",INDEX(Inputs!$C$4:$E$15,MATCH(MONTH(L55+275),Inputs!$D$4:$D$15,0),3)),IF(T55=3,CONCATENATE(INDEX(Inputs!$C$4:$E$15,MATCH('Loan Entry'!J55,Months,0),3),",",INDEX(Inputs!$C$4:$E$15,MATCH(MONTH(L55+95),Inputs!$D$4:$D$15,0),3),",",INDEX(Inputs!$C$4:$E$15,MATCH(MONTH(L55+190),Inputs!$D$4:$D$15,0),3)),IF(T55=2,CONCATENATE(INDEX(Inputs!$C$4:$E$15,MATCH('Loan Entry'!J55,Months,0),3),",",INDEX(Inputs!$C$4:$E$15,MATCH(MONTH(L55+95),Inputs!$D$4:$D$15,0),3)),INDEX(Inputs!$C$4:$G$15,MATCH('Loan Entry'!J55,Months,0),3)))),INDEX(Inputs!$C$4:$G$15,MATCH('Loan Entry'!N55,Months,0),5))))),"")</f>
        <v/>
      </c>
      <c r="AC55" s="923" t="str">
        <f>IF('Loan Entry'!$M55&gt;0,PMT((365/360)*'Loan Entry'!$E55/'Loan Entry'!$Q55,'Loan Entry'!$O55,'Loan Entry'!$F55*-1)*MIN('Loan Entry'!$Q55,O55),"")</f>
        <v/>
      </c>
      <c r="AD55" s="924" t="str">
        <f>IF(F55&gt;0,IF('Loan Entry'!$M55&lt;&gt;0,IF(U55=1,X55,IF(E55=0,U55*X55,X55)),'Loan Entry'!$AC55),"")</f>
        <v/>
      </c>
      <c r="AE55" s="929" t="str">
        <f>IF('Loan Entry'!$M55&gt;0,'Loan Entry'!$F55-'Loan Entry'!$AD55,"")</f>
        <v/>
      </c>
      <c r="AF55" s="651" t="str">
        <f>IF(AE55&gt;0,AC55,0)</f>
        <v/>
      </c>
      <c r="AG55" s="651"/>
      <c r="AH55" s="667" t="str">
        <f>IF(AE55&lt;&gt;0,IF(AE55&lt;AD55,AE55,IF(E55&gt;0,IF('Loan Entry'!$M55&lt;&gt;0,CUMPRINC(E55/Q55,(O55-T55),AE55,1,T55,0)*-1,),'Loan Entry'!$AC55)),0)</f>
        <v/>
      </c>
      <c r="AI55" s="667">
        <f>IF(M55&gt;0,AE55-AH55,0)</f>
        <v>0</v>
      </c>
    </row>
    <row r="56" spans="1:35" ht="24.95" customHeight="1" x14ac:dyDescent="0.2">
      <c r="A56" s="460" t="str">
        <f>IF('Loan Entry'!$M56&gt;0,DATE((G56+1),1,1),"")</f>
        <v/>
      </c>
      <c r="B56" s="337"/>
      <c r="C56" s="338"/>
      <c r="D56" s="338"/>
      <c r="E56" s="939"/>
      <c r="F56" s="339"/>
      <c r="G56" s="340"/>
      <c r="H56" s="450" t="str">
        <f>IF(I56&gt;0,ROUNDDOWN(Year+I56,0),"")</f>
        <v/>
      </c>
      <c r="I56" s="340"/>
      <c r="J56" s="340"/>
      <c r="K56" s="450" t="e">
        <f>IF(H56&gt;0,IF(H56-Year=0,"yes","no"),"")</f>
        <v>#VALUE!</v>
      </c>
      <c r="L56" s="450" t="str">
        <f>IF('Loan Entry'!$J56&gt;0,DATE(G56,INDEX(Inputs!$C$4:$D$15,MATCH(J56,Months,0),2),1),"")</f>
        <v/>
      </c>
      <c r="M56" s="340"/>
      <c r="N56" s="450" t="str">
        <f>IF(M56&lt;&gt;0,IF(AND(K56="yes",M56="Monthly")=TRUE,CHOOSE(R56,"January","February","March","April","May","June","July","August","September","October","November","December"),RIGHT(AB56,3)),"")</f>
        <v/>
      </c>
      <c r="O56" s="581" t="str">
        <f>IF('Loan Entry'!$M56&gt;0,'Loan Entry'!$I56*'Loan Entry'!$Q56,"")</f>
        <v/>
      </c>
      <c r="P56" s="581" t="str">
        <f>IF(M56&gt;0,(H56-(G56-1))*IF(M56="Monthly",12,IF(M56="Quarterly",4,IF(M56="Semi-Annual",2,1))),"")</f>
        <v/>
      </c>
      <c r="Q56" s="581" t="str">
        <f>IF(M56&gt;0,IF(M56="Monthly",12,IF(M56="Quarterly",4,IF(M56="Semi-Annual",2,1))),"")</f>
        <v/>
      </c>
      <c r="R56" s="581" t="str">
        <f>IF(M56&gt;0,IF(I56&lt;1,IF(M56="Annual",1,(YEARFRAC(L56,A56,))*IF(M56="Monthly",O56,IF(M56="quarterly",O56*3,IF(M56="semi-annual",O56*2,12)))),IF(M56="Annual",1,(YEARFRAC(L56,A56,))*12)),"")</f>
        <v/>
      </c>
      <c r="S56" s="581">
        <f>IF(M56&gt;0,INDEX(Inputs!$J$26:$K$37,MATCH('Loan Entry'!N56,Inputs!$J$26:$J$37,0),2)/12,0)</f>
        <v>0</v>
      </c>
      <c r="T56" s="581" t="str">
        <f>IF(M56&lt;&gt;0,IF(R56&gt;12,12,ROUNDUP(IF(M56="Monthly",12*(R56/Q56),IF(M56="Quarterly",((R56/12)*Q56),IF(M56="Semi-Annual",IF(((R56/12)*Q56)&gt;1,2,1),1))),0)),"")</f>
        <v/>
      </c>
      <c r="U56" s="581" t="str">
        <f>IF(M56&gt;0,T56/Q56,"")</f>
        <v/>
      </c>
      <c r="V56" s="581" t="str">
        <f>IF('Loan Entry'!$M56&gt;0,IF(U56=1,X56/T56,(X56/T56)),"")</f>
        <v/>
      </c>
      <c r="W56" s="581" t="str">
        <f>IF('Loan Entry'!$M56&gt;0,IF(U56=1,Y56/T56,U56*(Y56/T56)),"")</f>
        <v/>
      </c>
      <c r="X56" s="581" t="str">
        <f>IF(E56&gt;0,IF('Loan Entry'!$M56&lt;&gt;0,CUMPRINC((365/360)*E56/Q56,O56,F56,1,T56,0)*-1,),'Loan Entry'!$AC56)</f>
        <v/>
      </c>
      <c r="Y56" s="581">
        <f>IF(E56&gt;0,IF('Loan Entry'!$M56&lt;&gt;0,CUMIPMT(((365/360)*E56)/Q56,O56,F56,1,T56,0)*-1,),0)</f>
        <v>0</v>
      </c>
      <c r="Z56" s="581">
        <f>IF(ISERROR(S56*IF(E56&gt;0,IF('Loan Entry'!$M56&lt;&gt;0,CUMIPMT(((365/360)*E56)/Q56,O56,F56,1,T56,0)*-1,),0))=FALSE,S56*IF(E56&gt;0,IF('Loan Entry'!$M56&lt;&gt;0,CUMIPMT(((365/360)*E56)/Q56,O56,F56,1,T56,0)*-1,),0),0)</f>
        <v>0</v>
      </c>
      <c r="AA56" s="581">
        <f>IF(ISERROR(S56*IF(E56&gt;0,IF('Loan Entry'!$M56&lt;&gt;0,CUMIPMT(((365/360)*E56)/Q56,O56-T56,F56,1+T56,T56+T56,0)*-1,),0))=FALSE,S56*IF(E56&gt;0,IF('Loan Entry'!$M56&lt;&gt;0,CUMIPMT(((365/360)*E56)/Q56,O56-T56,F56,1+T56,T56+T56,0)*-1,),0),0)</f>
        <v>0</v>
      </c>
      <c r="AB56" s="581" t="str">
        <f>IF(M56&lt;&gt;0,IF(K56="no",IF(M56="annual",INDEX(Inputs!$C$4:$E$15,MATCH('Loan Entry'!J56,Months,0),3),IF(M56="semi-annual",IF(T56=2,CONCATENATE(INDEX(Inputs!$C$4:$E$15,MATCH('Loan Entry'!J56,Months,0),3),",",INDEX(Inputs!$C$4:$E$15,MATCH(MONTH(L56+190),Inputs!$D$4:$D$15,0),3)),INDEX(Inputs!$C$4:$E$15,MATCH('Loan Entry'!J56,Months,0),3)),IF(M56="Quarterly",IF(T56=4,CONCATENATE(INDEX(Inputs!$C$4:$E$15,MATCH('Loan Entry'!J56,Months,0),3),",",INDEX(Inputs!$C$4:$E$15,MATCH(MONTH(L56+95),Inputs!$D$4:$D$15,0),3),",",INDEX(Inputs!$C$4:$E$15,MATCH(MONTH(L56+190),Inputs!$D$4:$D$15,0),3),",",INDEX(Inputs!$C$4:$E$15,MATCH(MONTH(L56+275),Inputs!$D$4:$D$15,0),3)),IF(T56=3,CONCATENATE(INDEX(Inputs!$C$4:$E$15,MATCH('Loan Entry'!J56,Months,0),3),",",INDEX(Inputs!$C$4:$E$15,MATCH(MONTH(L56+95),Inputs!$D$4:$D$15,0),3),",",INDEX(Inputs!$C$4:$E$15,MATCH(MONTH(L56+190),Inputs!$D$4:$D$15,0),3)),IF(T56=2,CONCATENATE(INDEX(Inputs!$C$4:$E$15,MATCH('Loan Entry'!J56,Months,0),3),",",INDEX(Inputs!$C$4:$E$15,MATCH(MONTH(L56+95),Inputs!$D$4:$D$15,0),3)),INDEX(Inputs!$C$4:$E$15,MATCH('Loan Entry'!J56,Months,0),3)))),INDEX(Inputs!$C$4:$F$15,MATCH('Loan Entry'!J56,Months,0),4)))),IF(M56="annual",INDEX(Inputs!$C$4:$E$15,MATCH('Loan Entry'!J56,Months,0),3),IF(M56="semi-annual",IF(T56=2,CONCATENATE(INDEX(Inputs!$C$4:$E$15,MATCH('Loan Entry'!J56,Months,0),3),",",INDEX(Inputs!$C$4:$E$15,MATCH(MONTH(L56+190),Inputs!$D$4:$D$15,0),3)),INDEX(Inputs!$C$4:$E$15,MATCH('Loan Entry'!J56,Months,0),3)),IF(M56="Quarterly",IF(T56=4,CONCATENATE(INDEX(Inputs!$C$4:$E$15,MATCH('Loan Entry'!J56,Months,0),3),",",INDEX(Inputs!$C$4:$E$15,MATCH(MONTH(L56+95),Inputs!$D$4:$D$15,0),3),",",INDEX(Inputs!$C$4:$E$15,MATCH(MONTH(L56+190),Inputs!$D$4:$D$15,0),3),",",INDEX(Inputs!$C$4:$E$15,MATCH(MONTH(L56+275),Inputs!$D$4:$D$15,0),3)),IF(T56=3,CONCATENATE(INDEX(Inputs!$C$4:$E$15,MATCH('Loan Entry'!J56,Months,0),3),",",INDEX(Inputs!$C$4:$E$15,MATCH(MONTH(L56+95),Inputs!$D$4:$D$15,0),3),",",INDEX(Inputs!$C$4:$E$15,MATCH(MONTH(L56+190),Inputs!$D$4:$D$15,0),3)),IF(T56=2,CONCATENATE(INDEX(Inputs!$C$4:$E$15,MATCH('Loan Entry'!J56,Months,0),3),",",INDEX(Inputs!$C$4:$E$15,MATCH(MONTH(L56+95),Inputs!$D$4:$D$15,0),3)),INDEX(Inputs!$C$4:$G$15,MATCH('Loan Entry'!J56,Months,0),3)))),INDEX(Inputs!$C$4:$G$15,MATCH('Loan Entry'!N56,Months,0),5))))),"")</f>
        <v/>
      </c>
      <c r="AC56" s="925" t="str">
        <f>IF('Loan Entry'!$M56&gt;0,PMT((365/360)*'Loan Entry'!$E56/'Loan Entry'!$Q56,'Loan Entry'!$O56,'Loan Entry'!$F56*-1)*MIN('Loan Entry'!$Q56,O56),"")</f>
        <v/>
      </c>
      <c r="AD56" s="926" t="str">
        <f>IF(F56&gt;0,IF('Loan Entry'!$M56&lt;&gt;0,IF(U56=1,X56,IF(E56=0,U56*X56,X56)),'Loan Entry'!$AC56),"")</f>
        <v/>
      </c>
      <c r="AE56" s="930" t="str">
        <f>IF('Loan Entry'!$M56&gt;0,'Loan Entry'!$F56-'Loan Entry'!$AD56,"")</f>
        <v/>
      </c>
      <c r="AF56" s="651" t="str">
        <f>IF(AE56&gt;0,AC56,0)</f>
        <v/>
      </c>
      <c r="AG56" s="651"/>
      <c r="AH56" s="667" t="str">
        <f>IF(AE56&lt;&gt;0,IF(AE56&lt;AD56,AE56,IF(E56&gt;0,IF('Loan Entry'!$M56&lt;&gt;0,CUMPRINC(E56/Q56,(O56-T56),AE56,1,T56,0)*-1,),'Loan Entry'!$AC56)),0)</f>
        <v/>
      </c>
      <c r="AI56" s="667">
        <f>IF(M56&gt;0,AE56-AH56,0)</f>
        <v>0</v>
      </c>
    </row>
    <row r="57" spans="1:35" ht="24.95" customHeight="1" x14ac:dyDescent="0.2">
      <c r="A57" s="460" t="str">
        <f>IF('Loan Entry'!$M57&gt;0,DATE((G57+1),1,1),"")</f>
        <v/>
      </c>
      <c r="B57" s="341"/>
      <c r="C57" s="342"/>
      <c r="D57" s="342"/>
      <c r="E57" s="940"/>
      <c r="F57" s="343"/>
      <c r="G57" s="344"/>
      <c r="H57" s="451" t="str">
        <f>IF(I57&gt;0,ROUNDDOWN(Year+I57,0),"")</f>
        <v/>
      </c>
      <c r="I57" s="344"/>
      <c r="J57" s="344"/>
      <c r="K57" s="451" t="e">
        <f>IF(H57&gt;0,IF(H57-Year=0,"yes","no"),"")</f>
        <v>#VALUE!</v>
      </c>
      <c r="L57" s="451" t="str">
        <f>IF('Loan Entry'!$J57&gt;0,DATE(G57,INDEX(Inputs!$C$4:$D$15,MATCH(J57,Months,0),2),1),"")</f>
        <v/>
      </c>
      <c r="M57" s="344"/>
      <c r="N57" s="451" t="str">
        <f>IF(M57&lt;&gt;0,IF(AND(K57="yes",M57="Monthly")=TRUE,CHOOSE(R57,"January","February","March","April","May","June","July","August","September","October","November","December"),RIGHT(AB57,3)),"")</f>
        <v/>
      </c>
      <c r="O57" s="583" t="str">
        <f>IF('Loan Entry'!$M57&gt;0,'Loan Entry'!$I57*'Loan Entry'!$Q57,"")</f>
        <v/>
      </c>
      <c r="P57" s="583" t="str">
        <f>IF(M57&gt;0,(H57-(G57-1))*IF(M57="Monthly",12,IF(M57="Quarterly",4,IF(M57="Semi-Annual",2,1))),"")</f>
        <v/>
      </c>
      <c r="Q57" s="583" t="str">
        <f>IF(M57&gt;0,IF(M57="Monthly",12,IF(M57="Quarterly",4,IF(M57="Semi-Annual",2,1))),"")</f>
        <v/>
      </c>
      <c r="R57" s="583" t="str">
        <f>IF(M57&gt;0,IF(I57&lt;1,IF(M57="Annual",1,(YEARFRAC(L57,A57,))*IF(M57="Monthly",O57,IF(M57="quarterly",O57*3,IF(M57="semi-annual",O57*2,12)))),IF(M57="Annual",1,(YEARFRAC(L57,A57,))*12)),"")</f>
        <v/>
      </c>
      <c r="S57" s="583">
        <f>IF(M57&gt;0,INDEX(Inputs!$J$26:$K$37,MATCH('Loan Entry'!N57,Inputs!$J$26:$J$37,0),2)/12,0)</f>
        <v>0</v>
      </c>
      <c r="T57" s="583" t="str">
        <f>IF(M57&lt;&gt;0,IF(R57&gt;12,12,ROUNDUP(IF(M57="Monthly",12*(R57/Q57),IF(M57="Quarterly",((R57/12)*Q57),IF(M57="Semi-Annual",IF(((R57/12)*Q57)&gt;1,2,1),1))),0)),"")</f>
        <v/>
      </c>
      <c r="U57" s="583" t="str">
        <f>IF(M57&gt;0,T57/Q57,"")</f>
        <v/>
      </c>
      <c r="V57" s="583" t="str">
        <f>IF('Loan Entry'!$M57&gt;0,IF(U57=1,X57/T57,(X57/T57)),"")</f>
        <v/>
      </c>
      <c r="W57" s="583" t="str">
        <f>IF('Loan Entry'!$M57&gt;0,IF(U57=1,Y57/T57,U57*(Y57/T57)),"")</f>
        <v/>
      </c>
      <c r="X57" s="583" t="str">
        <f>IF(E57&gt;0,IF('Loan Entry'!$M57&lt;&gt;0,CUMPRINC((365/360)*E57/Q57,O57,F57,1,T57,0)*-1,),'Loan Entry'!$AC57)</f>
        <v/>
      </c>
      <c r="Y57" s="583">
        <f>IF(E57&gt;0,IF('Loan Entry'!$M57&lt;&gt;0,CUMIPMT(((365/360)*E57)/Q57,O57,F57,1,T57,0)*-1,),0)</f>
        <v>0</v>
      </c>
      <c r="Z57" s="583">
        <f>IF(ISERROR(S57*IF(E57&gt;0,IF('Loan Entry'!$M57&lt;&gt;0,CUMIPMT(((365/360)*E57)/Q57,O57,F57,1,T57,0)*-1,),0))=FALSE,S57*IF(E57&gt;0,IF('Loan Entry'!$M57&lt;&gt;0,CUMIPMT(((365/360)*E57)/Q57,O57,F57,1,T57,0)*-1,),0),0)</f>
        <v>0</v>
      </c>
      <c r="AA57" s="583">
        <f>IF(ISERROR(S57*IF(E57&gt;0,IF('Loan Entry'!$M57&lt;&gt;0,CUMIPMT(((365/360)*E57)/Q57,O57-T57,F57,1+T57,T57+T57,0)*-1,),0))=FALSE,S57*IF(E57&gt;0,IF('Loan Entry'!$M57&lt;&gt;0,CUMIPMT(((365/360)*E57)/Q57,O57-T57,F57,1+T57,T57+T57,0)*-1,),0),0)</f>
        <v>0</v>
      </c>
      <c r="AB57" s="583" t="str">
        <f>IF(M57&lt;&gt;0,IF(K57="no",IF(M57="annual",INDEX(Inputs!$C$4:$E$15,MATCH('Loan Entry'!J57,Months,0),3),IF(M57="semi-annual",IF(T57=2,CONCATENATE(INDEX(Inputs!$C$4:$E$15,MATCH('Loan Entry'!J57,Months,0),3),",",INDEX(Inputs!$C$4:$E$15,MATCH(MONTH(L57+190),Inputs!$D$4:$D$15,0),3)),INDEX(Inputs!$C$4:$E$15,MATCH('Loan Entry'!J57,Months,0),3)),IF(M57="Quarterly",IF(T57=4,CONCATENATE(INDEX(Inputs!$C$4:$E$15,MATCH('Loan Entry'!J57,Months,0),3),",",INDEX(Inputs!$C$4:$E$15,MATCH(MONTH(L57+95),Inputs!$D$4:$D$15,0),3),",",INDEX(Inputs!$C$4:$E$15,MATCH(MONTH(L57+190),Inputs!$D$4:$D$15,0),3),",",INDEX(Inputs!$C$4:$E$15,MATCH(MONTH(L57+275),Inputs!$D$4:$D$15,0),3)),IF(T57=3,CONCATENATE(INDEX(Inputs!$C$4:$E$15,MATCH('Loan Entry'!J57,Months,0),3),",",INDEX(Inputs!$C$4:$E$15,MATCH(MONTH(L57+95),Inputs!$D$4:$D$15,0),3),",",INDEX(Inputs!$C$4:$E$15,MATCH(MONTH(L57+190),Inputs!$D$4:$D$15,0),3)),IF(T57=2,CONCATENATE(INDEX(Inputs!$C$4:$E$15,MATCH('Loan Entry'!J57,Months,0),3),",",INDEX(Inputs!$C$4:$E$15,MATCH(MONTH(L57+95),Inputs!$D$4:$D$15,0),3)),INDEX(Inputs!$C$4:$E$15,MATCH('Loan Entry'!J57,Months,0),3)))),INDEX(Inputs!$C$4:$F$15,MATCH('Loan Entry'!J57,Months,0),4)))),IF(M57="annual",INDEX(Inputs!$C$4:$E$15,MATCH('Loan Entry'!J57,Months,0),3),IF(M57="semi-annual",IF(T57=2,CONCATENATE(INDEX(Inputs!$C$4:$E$15,MATCH('Loan Entry'!J57,Months,0),3),",",INDEX(Inputs!$C$4:$E$15,MATCH(MONTH(L57+190),Inputs!$D$4:$D$15,0),3)),INDEX(Inputs!$C$4:$E$15,MATCH('Loan Entry'!J57,Months,0),3)),IF(M57="Quarterly",IF(T57=4,CONCATENATE(INDEX(Inputs!$C$4:$E$15,MATCH('Loan Entry'!J57,Months,0),3),",",INDEX(Inputs!$C$4:$E$15,MATCH(MONTH(L57+95),Inputs!$D$4:$D$15,0),3),",",INDEX(Inputs!$C$4:$E$15,MATCH(MONTH(L57+190),Inputs!$D$4:$D$15,0),3),",",INDEX(Inputs!$C$4:$E$15,MATCH(MONTH(L57+275),Inputs!$D$4:$D$15,0),3)),IF(T57=3,CONCATENATE(INDEX(Inputs!$C$4:$E$15,MATCH('Loan Entry'!J57,Months,0),3),",",INDEX(Inputs!$C$4:$E$15,MATCH(MONTH(L57+95),Inputs!$D$4:$D$15,0),3),",",INDEX(Inputs!$C$4:$E$15,MATCH(MONTH(L57+190),Inputs!$D$4:$D$15,0),3)),IF(T57=2,CONCATENATE(INDEX(Inputs!$C$4:$E$15,MATCH('Loan Entry'!J57,Months,0),3),",",INDEX(Inputs!$C$4:$E$15,MATCH(MONTH(L57+95),Inputs!$D$4:$D$15,0),3)),INDEX(Inputs!$C$4:$G$15,MATCH('Loan Entry'!J57,Months,0),3)))),INDEX(Inputs!$C$4:$G$15,MATCH('Loan Entry'!N57,Months,0),5))))),"")</f>
        <v/>
      </c>
      <c r="AC57" s="927" t="str">
        <f>IF('Loan Entry'!$M57&gt;0,PMT((365/360)*'Loan Entry'!$E57/'Loan Entry'!$Q57,'Loan Entry'!$O57,'Loan Entry'!$F57*-1)*MIN('Loan Entry'!$Q57,O57),"")</f>
        <v/>
      </c>
      <c r="AD57" s="928" t="str">
        <f>IF(F57&gt;0,IF('Loan Entry'!$M57&lt;&gt;0,IF(U57=1,X57,IF(E57=0,U57*X57,X57)),'Loan Entry'!$AC57),"")</f>
        <v/>
      </c>
      <c r="AE57" s="931" t="str">
        <f>IF('Loan Entry'!$M57&gt;0,'Loan Entry'!$F57-'Loan Entry'!$AD57,"")</f>
        <v/>
      </c>
      <c r="AF57" s="651" t="str">
        <f>IF(AE57&gt;0,AC57,0)</f>
        <v/>
      </c>
      <c r="AG57" s="651"/>
      <c r="AH57" s="667" t="str">
        <f>IF(AE57&lt;&gt;0,IF(AE57&lt;AD57,AE57,IF(E57&gt;0,IF('Loan Entry'!$M57&lt;&gt;0,CUMPRINC(E57/Q57,(O57-T57),AE57,1,T57,0)*-1,),'Loan Entry'!$AC57)),0)</f>
        <v/>
      </c>
      <c r="AI57" s="667">
        <f>IF(M57&gt;0,AE57-AH57,0)</f>
        <v>0</v>
      </c>
    </row>
    <row r="58" spans="1:35" ht="24.95" customHeight="1" x14ac:dyDescent="0.2">
      <c r="A58" s="460" t="str">
        <f>IF('Loan Entry'!$M58&gt;0,DATE((G58+1),1,1),"")</f>
        <v/>
      </c>
      <c r="B58" s="337"/>
      <c r="C58" s="338"/>
      <c r="D58" s="338"/>
      <c r="E58" s="939"/>
      <c r="F58" s="339"/>
      <c r="G58" s="340"/>
      <c r="H58" s="450" t="str">
        <f>IF(I58&gt;0,ROUNDDOWN(Year+I58,0),"")</f>
        <v/>
      </c>
      <c r="I58" s="340"/>
      <c r="J58" s="340"/>
      <c r="K58" s="450" t="e">
        <f>IF(H58&gt;0,IF(H58-Year=0,"yes","no"),"")</f>
        <v>#VALUE!</v>
      </c>
      <c r="L58" s="450" t="str">
        <f>IF('Loan Entry'!$J58&gt;0,DATE(G58,INDEX(Inputs!$C$4:$D$15,MATCH(J58,Months,0),2),1),"")</f>
        <v/>
      </c>
      <c r="M58" s="340"/>
      <c r="N58" s="450" t="str">
        <f>IF(M58&lt;&gt;0,IF(AND(K58="yes",M58="Monthly")=TRUE,CHOOSE(R58,"January","February","March","April","May","June","July","August","September","October","November","December"),RIGHT(AB58,3)),"")</f>
        <v/>
      </c>
      <c r="O58" s="581" t="str">
        <f>IF('Loan Entry'!$M58&gt;0,'Loan Entry'!$I58*'Loan Entry'!$Q58,"")</f>
        <v/>
      </c>
      <c r="P58" s="581" t="str">
        <f>IF(M58&gt;0,(H58-(G58-1))*IF(M58="Monthly",12,IF(M58="Quarterly",4,IF(M58="Semi-Annual",2,1))),"")</f>
        <v/>
      </c>
      <c r="Q58" s="581" t="str">
        <f>IF(M58&gt;0,IF(M58="Monthly",12,IF(M58="Quarterly",4,IF(M58="Semi-Annual",2,1))),"")</f>
        <v/>
      </c>
      <c r="R58" s="581" t="str">
        <f>IF(M58&gt;0,IF(I58&lt;1,IF(M58="Annual",1,(YEARFRAC(L58,A58,))*IF(M58="Monthly",O58,IF(M58="quarterly",O58*3,IF(M58="semi-annual",O58*2,12)))),IF(M58="Annual",1,(YEARFRAC(L58,A58,))*12)),"")</f>
        <v/>
      </c>
      <c r="S58" s="581">
        <f>IF(M58&gt;0,INDEX(Inputs!$J$26:$K$37,MATCH('Loan Entry'!N58,Inputs!$J$26:$J$37,0),2)/12,0)</f>
        <v>0</v>
      </c>
      <c r="T58" s="581" t="str">
        <f>IF(M58&lt;&gt;0,IF(R58&gt;12,12,ROUNDUP(IF(M58="Monthly",12*(R58/Q58),IF(M58="Quarterly",((R58/12)*Q58),IF(M58="Semi-Annual",IF(((R58/12)*Q58)&gt;1,2,1),1))),0)),"")</f>
        <v/>
      </c>
      <c r="U58" s="581" t="str">
        <f>IF(M58&gt;0,T58/Q58,"")</f>
        <v/>
      </c>
      <c r="V58" s="581" t="str">
        <f>IF('Loan Entry'!$M58&gt;0,IF(U58=1,X58/T58,(X58/T58)),"")</f>
        <v/>
      </c>
      <c r="W58" s="581" t="str">
        <f>IF('Loan Entry'!$M58&gt;0,IF(U58=1,Y58/T58,U58*(Y58/T58)),"")</f>
        <v/>
      </c>
      <c r="X58" s="581" t="str">
        <f>IF(E58&gt;0,IF('Loan Entry'!$M58&lt;&gt;0,CUMPRINC((365/360)*E58/Q58,O58,F58,1,T58,0)*-1,),'Loan Entry'!$AC58)</f>
        <v/>
      </c>
      <c r="Y58" s="581">
        <f>IF(E58&gt;0,IF('Loan Entry'!$M58&lt;&gt;0,CUMIPMT(((365/360)*E58)/Q58,O58,F58,1,T58,0)*-1,),0)</f>
        <v>0</v>
      </c>
      <c r="Z58" s="581">
        <f>IF(ISERROR(S58*IF(E58&gt;0,IF('Loan Entry'!$M58&lt;&gt;0,CUMIPMT(((365/360)*E58)/Q58,O58,F58,1,T58,0)*-1,),0))=FALSE,S58*IF(E58&gt;0,IF('Loan Entry'!$M58&lt;&gt;0,CUMIPMT(((365/360)*E58)/Q58,O58,F58,1,T58,0)*-1,),0),0)</f>
        <v>0</v>
      </c>
      <c r="AA58" s="581">
        <f>IF(ISERROR(S58*IF(E58&gt;0,IF('Loan Entry'!$M58&lt;&gt;0,CUMIPMT(((365/360)*E58)/Q58,O58-T58,F58,1+T58,T58+T58,0)*-1,),0))=FALSE,S58*IF(E58&gt;0,IF('Loan Entry'!$M58&lt;&gt;0,CUMIPMT(((365/360)*E58)/Q58,O58-T58,F58,1+T58,T58+T58,0)*-1,),0),0)</f>
        <v>0</v>
      </c>
      <c r="AB58" s="581" t="str">
        <f>IF(M58&lt;&gt;0,IF(K58="no",IF(M58="annual",INDEX(Inputs!$C$4:$E$15,MATCH('Loan Entry'!J58,Months,0),3),IF(M58="semi-annual",IF(T58=2,CONCATENATE(INDEX(Inputs!$C$4:$E$15,MATCH('Loan Entry'!J58,Months,0),3),",",INDEX(Inputs!$C$4:$E$15,MATCH(MONTH(L58+190),Inputs!$D$4:$D$15,0),3)),INDEX(Inputs!$C$4:$E$15,MATCH('Loan Entry'!J58,Months,0),3)),IF(M58="Quarterly",IF(T58=4,CONCATENATE(INDEX(Inputs!$C$4:$E$15,MATCH('Loan Entry'!J58,Months,0),3),",",INDEX(Inputs!$C$4:$E$15,MATCH(MONTH(L58+95),Inputs!$D$4:$D$15,0),3),",",INDEX(Inputs!$C$4:$E$15,MATCH(MONTH(L58+190),Inputs!$D$4:$D$15,0),3),",",INDEX(Inputs!$C$4:$E$15,MATCH(MONTH(L58+275),Inputs!$D$4:$D$15,0),3)),IF(T58=3,CONCATENATE(INDEX(Inputs!$C$4:$E$15,MATCH('Loan Entry'!J58,Months,0),3),",",INDEX(Inputs!$C$4:$E$15,MATCH(MONTH(L58+95),Inputs!$D$4:$D$15,0),3),",",INDEX(Inputs!$C$4:$E$15,MATCH(MONTH(L58+190),Inputs!$D$4:$D$15,0),3)),IF(T58=2,CONCATENATE(INDEX(Inputs!$C$4:$E$15,MATCH('Loan Entry'!J58,Months,0),3),",",INDEX(Inputs!$C$4:$E$15,MATCH(MONTH(L58+95),Inputs!$D$4:$D$15,0),3)),INDEX(Inputs!$C$4:$E$15,MATCH('Loan Entry'!J58,Months,0),3)))),INDEX(Inputs!$C$4:$F$15,MATCH('Loan Entry'!J58,Months,0),4)))),IF(M58="annual",INDEX(Inputs!$C$4:$E$15,MATCH('Loan Entry'!J58,Months,0),3),IF(M58="semi-annual",IF(T58=2,CONCATENATE(INDEX(Inputs!$C$4:$E$15,MATCH('Loan Entry'!J58,Months,0),3),",",INDEX(Inputs!$C$4:$E$15,MATCH(MONTH(L58+190),Inputs!$D$4:$D$15,0),3)),INDEX(Inputs!$C$4:$E$15,MATCH('Loan Entry'!J58,Months,0),3)),IF(M58="Quarterly",IF(T58=4,CONCATENATE(INDEX(Inputs!$C$4:$E$15,MATCH('Loan Entry'!J58,Months,0),3),",",INDEX(Inputs!$C$4:$E$15,MATCH(MONTH(L58+95),Inputs!$D$4:$D$15,0),3),",",INDEX(Inputs!$C$4:$E$15,MATCH(MONTH(L58+190),Inputs!$D$4:$D$15,0),3),",",INDEX(Inputs!$C$4:$E$15,MATCH(MONTH(L58+275),Inputs!$D$4:$D$15,0),3)),IF(T58=3,CONCATENATE(INDEX(Inputs!$C$4:$E$15,MATCH('Loan Entry'!J58,Months,0),3),",",INDEX(Inputs!$C$4:$E$15,MATCH(MONTH(L58+95),Inputs!$D$4:$D$15,0),3),",",INDEX(Inputs!$C$4:$E$15,MATCH(MONTH(L58+190),Inputs!$D$4:$D$15,0),3)),IF(T58=2,CONCATENATE(INDEX(Inputs!$C$4:$E$15,MATCH('Loan Entry'!J58,Months,0),3),",",INDEX(Inputs!$C$4:$E$15,MATCH(MONTH(L58+95),Inputs!$D$4:$D$15,0),3)),INDEX(Inputs!$C$4:$G$15,MATCH('Loan Entry'!J58,Months,0),3)))),INDEX(Inputs!$C$4:$G$15,MATCH('Loan Entry'!N58,Months,0),5))))),"")</f>
        <v/>
      </c>
      <c r="AC58" s="925" t="str">
        <f>IF('Loan Entry'!$M58&gt;0,PMT((365/360)*'Loan Entry'!$E58/'Loan Entry'!$Q58,'Loan Entry'!$O58,'Loan Entry'!$F58*-1)*MIN('Loan Entry'!$Q58,O58),"")</f>
        <v/>
      </c>
      <c r="AD58" s="926" t="str">
        <f>IF(F58&gt;0,IF('Loan Entry'!$M58&lt;&gt;0,IF(U58=1,X58,IF(E58=0,U58*X58,X58)),'Loan Entry'!$AC58),"")</f>
        <v/>
      </c>
      <c r="AE58" s="930" t="str">
        <f>IF('Loan Entry'!$M58&gt;0,'Loan Entry'!$F58-'Loan Entry'!$AD58,"")</f>
        <v/>
      </c>
      <c r="AF58" s="651" t="str">
        <f>IF(AE58&gt;0,AC58,0)</f>
        <v/>
      </c>
      <c r="AG58" s="651"/>
      <c r="AH58" s="667" t="str">
        <f>IF(AE58&lt;&gt;0,IF(AE58&lt;AD58,AE58,IF(E58&gt;0,IF('Loan Entry'!$M58&lt;&gt;0,CUMPRINC(E58/Q58,(O58-T58),AE58,1,T58,0)*-1,),'Loan Entry'!$AC58)),0)</f>
        <v/>
      </c>
      <c r="AI58" s="667">
        <f>IF(M58&gt;0,AE58-AH58,0)</f>
        <v>0</v>
      </c>
    </row>
    <row r="59" spans="1:35" ht="24.95" customHeight="1" x14ac:dyDescent="0.2">
      <c r="A59" s="460" t="str">
        <f>IF('Loan Entry'!$M66&gt;0,DATE((G66+1),1,1),"")</f>
        <v/>
      </c>
      <c r="B59" s="952" t="str">
        <f>CONCATENATE("Sub-Total ",B53)</f>
        <v>Sub-Total Business Real Estate Loans</v>
      </c>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c r="AC59" s="952"/>
      <c r="AD59" s="279">
        <f>SUM('Loan Entry'!$AD$55:$AD$58)</f>
        <v>0</v>
      </c>
      <c r="AE59" s="279">
        <f>SUM('Loan Entry'!$AE$55:$AE$58)</f>
        <v>0</v>
      </c>
      <c r="AH59" s="667">
        <f>SUM(AH55:AH58)</f>
        <v>0</v>
      </c>
      <c r="AI59" s="667">
        <f>SUM(AI55:AI58)</f>
        <v>0</v>
      </c>
    </row>
    <row r="60" spans="1:35" ht="24.95" customHeight="1" x14ac:dyDescent="0.2">
      <c r="AH60" s="667"/>
      <c r="AI60" s="667"/>
    </row>
    <row r="61" spans="1:35" ht="24.95" customHeight="1" x14ac:dyDescent="0.2">
      <c r="B61" s="954" t="s">
        <v>109</v>
      </c>
      <c r="C61" s="954"/>
      <c r="D61" s="954"/>
      <c r="E61" s="954"/>
      <c r="F61" s="954"/>
      <c r="G61" s="954"/>
      <c r="H61" s="954"/>
      <c r="I61" s="954"/>
      <c r="J61" s="954"/>
      <c r="K61" s="954"/>
      <c r="L61" s="954"/>
      <c r="M61" s="954"/>
      <c r="N61" s="954"/>
      <c r="O61" s="954"/>
      <c r="P61" s="954"/>
      <c r="Q61" s="954"/>
      <c r="R61" s="954"/>
      <c r="S61" s="954"/>
      <c r="T61" s="954"/>
      <c r="U61" s="954"/>
      <c r="V61" s="954"/>
      <c r="W61" s="954"/>
      <c r="X61" s="954"/>
      <c r="Y61" s="954"/>
      <c r="Z61" s="954"/>
      <c r="AA61" s="954"/>
      <c r="AB61" s="954"/>
      <c r="AC61" s="954"/>
      <c r="AD61" s="954"/>
      <c r="AE61" s="954"/>
      <c r="AH61" s="667"/>
      <c r="AI61" s="667"/>
    </row>
    <row r="62" spans="1:35" ht="24.95" customHeight="1" thickBot="1" x14ac:dyDescent="0.25">
      <c r="B62" s="482" t="s">
        <v>91</v>
      </c>
      <c r="C62" s="483" t="s">
        <v>92</v>
      </c>
      <c r="D62" s="479" t="s">
        <v>176</v>
      </c>
      <c r="E62" s="484" t="s">
        <v>93</v>
      </c>
      <c r="F62" s="480" t="s">
        <v>115</v>
      </c>
      <c r="G62" s="480" t="s">
        <v>97</v>
      </c>
      <c r="H62" s="480" t="s">
        <v>231</v>
      </c>
      <c r="I62" s="485" t="s">
        <v>104</v>
      </c>
      <c r="J62" s="485" t="s">
        <v>182</v>
      </c>
      <c r="K62" s="570" t="s">
        <v>233</v>
      </c>
      <c r="L62" s="570" t="s">
        <v>236</v>
      </c>
      <c r="M62" s="480" t="s">
        <v>98</v>
      </c>
      <c r="N62" s="571" t="s">
        <v>234</v>
      </c>
      <c r="O62" s="571" t="s">
        <v>235</v>
      </c>
      <c r="P62" s="571" t="s">
        <v>232</v>
      </c>
      <c r="Q62" s="571" t="s">
        <v>107</v>
      </c>
      <c r="R62" s="571" t="s">
        <v>185</v>
      </c>
      <c r="S62" s="571" t="s">
        <v>438</v>
      </c>
      <c r="T62" s="571" t="s">
        <v>199</v>
      </c>
      <c r="U62" s="571" t="s">
        <v>205</v>
      </c>
      <c r="V62" s="571" t="s">
        <v>183</v>
      </c>
      <c r="W62" s="571" t="s">
        <v>184</v>
      </c>
      <c r="X62" s="571" t="s">
        <v>197</v>
      </c>
      <c r="Y62" s="571" t="s">
        <v>198</v>
      </c>
      <c r="Z62" s="571" t="s">
        <v>435</v>
      </c>
      <c r="AA62" s="571" t="s">
        <v>434</v>
      </c>
      <c r="AB62" s="571" t="s">
        <v>106</v>
      </c>
      <c r="AC62" s="485" t="s">
        <v>94</v>
      </c>
      <c r="AD62" s="485" t="s">
        <v>95</v>
      </c>
      <c r="AE62" s="485" t="s">
        <v>96</v>
      </c>
      <c r="AH62" s="667"/>
      <c r="AI62" s="667"/>
    </row>
    <row r="63" spans="1:35" ht="24.95" customHeight="1" thickTop="1" x14ac:dyDescent="0.2">
      <c r="A63" s="458" t="str">
        <f>IF('Loan Entry'!$M63&gt;0,DATE((G63+1),1,1),"")</f>
        <v/>
      </c>
      <c r="B63" s="333"/>
      <c r="C63" s="334"/>
      <c r="D63" s="588"/>
      <c r="E63" s="938"/>
      <c r="F63" s="335"/>
      <c r="G63" s="336"/>
      <c r="H63" s="449" t="str">
        <f>IF(I63&gt;0,ROUNDDOWN(Year+I63,0),"")</f>
        <v/>
      </c>
      <c r="I63" s="336"/>
      <c r="J63" s="336"/>
      <c r="K63" s="449" t="e">
        <f>IF(H63&gt;0,IF(H63-Year=0,"yes","no"),"")</f>
        <v>#VALUE!</v>
      </c>
      <c r="L63" s="449" t="str">
        <f>IF('Loan Entry'!$J63&gt;0,DATE(G63,INDEX(Inputs!$C$4:$D$15,MATCH(J63,Months,0),2),1),"")</f>
        <v/>
      </c>
      <c r="M63" s="336"/>
      <c r="N63" s="449" t="str">
        <f>IF(M63&lt;&gt;0,IF(AND(K63="yes",M63="Monthly")=TRUE,CHOOSE(R63,"January","February","March","April","May","June","July","August","September","October","November","December"),RIGHT(AB63,3)),"")</f>
        <v/>
      </c>
      <c r="O63" s="449" t="str">
        <f>IF('Loan Entry'!$M63&gt;0,'Loan Entry'!$I63*'Loan Entry'!$Q63,"")</f>
        <v/>
      </c>
      <c r="P63" s="449" t="str">
        <f>IF(M63&gt;0,(H63-(G63-1))*IF(M63="Monthly",12,IF(M63="Quarterly",4,IF(M63="Semi-Annual",2,1))),"")</f>
        <v/>
      </c>
      <c r="Q63" s="449" t="str">
        <f>IF(M63&gt;0,IF(M63="Monthly",12,IF(M63="Quarterly",4,IF(M63="Semi-Annual",2,1))),"")</f>
        <v/>
      </c>
      <c r="R63" s="449" t="str">
        <f>IF(M63&gt;0,IF(I63&lt;1,IF(M63="Annual",1,(YEARFRAC(L63,A63,))*IF(M63="Monthly",O63,IF(M63="quarterly",O63*3,IF(M63="semi-annual",O63*2,12)))),IF(M63="Annual",1,(YEARFRAC(L63,A63,))*12)),"")</f>
        <v/>
      </c>
      <c r="S63" s="449">
        <f>IF(M63&gt;0,INDEX(Inputs!$J$26:$K$37,MATCH('Loan Entry'!N63,Inputs!$J$26:$J$37,0),2)/12,0)</f>
        <v>0</v>
      </c>
      <c r="T63" s="449" t="str">
        <f>IF(M63&lt;&gt;0,IF(R63&gt;12,12,ROUNDUP(IF(M63="Monthly",12*(R63/Q63),IF(M63="Quarterly",((R63/12)*Q63),IF(M63="Semi-Annual",IF(((R63/12)*Q63)&gt;1,2,1),1))),0)),"")</f>
        <v/>
      </c>
      <c r="U63" s="449" t="str">
        <f>IF(M63&gt;0,T63/Q63,"")</f>
        <v/>
      </c>
      <c r="V63" s="449" t="str">
        <f>IF('Loan Entry'!$M63&gt;0,IF(U63=1,X63/T63,(X63/T63)),"")</f>
        <v/>
      </c>
      <c r="W63" s="449" t="str">
        <f>IF('Loan Entry'!$M63&gt;0,IF(U63=1,Y63/T63,U63*(Y63/T63)),"")</f>
        <v/>
      </c>
      <c r="X63" s="449" t="str">
        <f>IF(E63&gt;0,IF('Loan Entry'!$M63&lt;&gt;0,CUMPRINC((365/360)*E63/Q63,O63,F63,1,T63,0)*-1,),'Loan Entry'!$AC63)</f>
        <v/>
      </c>
      <c r="Y63" s="449">
        <f>IF(E63&gt;0,IF('Loan Entry'!$M63&lt;&gt;0,CUMIPMT(((365/360)*E63)/Q63,O63,F63,1,T63,0)*-1,),0)</f>
        <v>0</v>
      </c>
      <c r="Z63" s="449">
        <f>IF(ISERROR(S63*IF(E63&gt;0,IF('Loan Entry'!$M63&lt;&gt;0,CUMIPMT(((365/360)*E63)/Q63,O63,F63,1,T63,0)*-1,),0))=FALSE,S63*IF(E63&gt;0,IF('Loan Entry'!$M63&lt;&gt;0,CUMIPMT(((365/360)*E63)/Q63,O63,F63,1,T63,0)*-1,),0),0)</f>
        <v>0</v>
      </c>
      <c r="AA63" s="449">
        <f>IF(ISERROR(S63*IF(E63&gt;0,IF('Loan Entry'!$M63&lt;&gt;0,CUMIPMT(((365/360)*E63)/Q63,O63-T63,F63,1+T63,T63+T63,0)*-1,),0))=FALSE,S63*IF(E63&gt;0,IF('Loan Entry'!$M63&lt;&gt;0,CUMIPMT(((365/360)*E63)/Q63,O63-T63,F63,1+T63,T63+T63,0)*-1,),0),0)</f>
        <v>0</v>
      </c>
      <c r="AB63" s="449" t="str">
        <f>IF(M63&lt;&gt;0,IF(K63="no",IF(M63="annual",INDEX(Inputs!$C$4:$E$15,MATCH('Loan Entry'!J63,Months,0),3),IF(M63="semi-annual",IF(T63=2,CONCATENATE(INDEX(Inputs!$C$4:$E$15,MATCH('Loan Entry'!J63,Months,0),3),",",INDEX(Inputs!$C$4:$E$15,MATCH(MONTH(L63+190),Inputs!$D$4:$D$15,0),3)),INDEX(Inputs!$C$4:$E$15,MATCH('Loan Entry'!J63,Months,0),3)),IF(M63="Quarterly",IF(T63=4,CONCATENATE(INDEX(Inputs!$C$4:$E$15,MATCH('Loan Entry'!J63,Months,0),3),",",INDEX(Inputs!$C$4:$E$15,MATCH(MONTH(L63+95),Inputs!$D$4:$D$15,0),3),",",INDEX(Inputs!$C$4:$E$15,MATCH(MONTH(L63+190),Inputs!$D$4:$D$15,0),3),",",INDEX(Inputs!$C$4:$E$15,MATCH(MONTH(L63+275),Inputs!$D$4:$D$15,0),3)),IF(T63=3,CONCATENATE(INDEX(Inputs!$C$4:$E$15,MATCH('Loan Entry'!J63,Months,0),3),",",INDEX(Inputs!$C$4:$E$15,MATCH(MONTH(L63+95),Inputs!$D$4:$D$15,0),3),",",INDEX(Inputs!$C$4:$E$15,MATCH(MONTH(L63+190),Inputs!$D$4:$D$15,0),3)),IF(T63=2,CONCATENATE(INDEX(Inputs!$C$4:$E$15,MATCH('Loan Entry'!J63,Months,0),3),",",INDEX(Inputs!$C$4:$E$15,MATCH(MONTH(L63+95),Inputs!$D$4:$D$15,0),3)),INDEX(Inputs!$C$4:$E$15,MATCH('Loan Entry'!J63,Months,0),3)))),INDEX(Inputs!$C$4:$F$15,MATCH('Loan Entry'!J63,Months,0),4)))),IF(M63="annual",INDEX(Inputs!$C$4:$E$15,MATCH('Loan Entry'!J63,Months,0),3),IF(M63="semi-annual",IF(T63=2,CONCATENATE(INDEX(Inputs!$C$4:$E$15,MATCH('Loan Entry'!J63,Months,0),3),",",INDEX(Inputs!$C$4:$E$15,MATCH(MONTH(L63+190),Inputs!$D$4:$D$15,0),3)),INDEX(Inputs!$C$4:$E$15,MATCH('Loan Entry'!J63,Months,0),3)),IF(M63="Quarterly",IF(T63=4,CONCATENATE(INDEX(Inputs!$C$4:$E$15,MATCH('Loan Entry'!J63,Months,0),3),",",INDEX(Inputs!$C$4:$E$15,MATCH(MONTH(L63+95),Inputs!$D$4:$D$15,0),3),",",INDEX(Inputs!$C$4:$E$15,MATCH(MONTH(L63+190),Inputs!$D$4:$D$15,0),3),",",INDEX(Inputs!$C$4:$E$15,MATCH(MONTH(L63+275),Inputs!$D$4:$D$15,0),3)),IF(T63=3,CONCATENATE(INDEX(Inputs!$C$4:$E$15,MATCH('Loan Entry'!J63,Months,0),3),",",INDEX(Inputs!$C$4:$E$15,MATCH(MONTH(L63+95),Inputs!$D$4:$D$15,0),3),",",INDEX(Inputs!$C$4:$E$15,MATCH(MONTH(L63+190),Inputs!$D$4:$D$15,0),3)),IF(T63=2,CONCATENATE(INDEX(Inputs!$C$4:$E$15,MATCH('Loan Entry'!J63,Months,0),3),",",INDEX(Inputs!$C$4:$E$15,MATCH(MONTH(L63+95),Inputs!$D$4:$D$15,0),3)),INDEX(Inputs!$C$4:$G$15,MATCH('Loan Entry'!J63,Months,0),3)))),INDEX(Inputs!$C$4:$G$15,MATCH('Loan Entry'!N63,Months,0),5))))),"")</f>
        <v/>
      </c>
      <c r="AC63" s="923" t="str">
        <f>IF('Loan Entry'!$M63&gt;0,PMT((365/360)*'Loan Entry'!$E63/'Loan Entry'!$Q63,'Loan Entry'!$O63,'Loan Entry'!$F63*-1)*MIN('Loan Entry'!$Q63,O63),"")</f>
        <v/>
      </c>
      <c r="AD63" s="924" t="str">
        <f>IF(F63&gt;0,IF('Loan Entry'!$M63&lt;&gt;0,IF(U63=1,X63,IF(E63=0,U63*X63,X63)),'Loan Entry'!$AC63),"")</f>
        <v/>
      </c>
      <c r="AE63" s="929" t="str">
        <f>IF('Loan Entry'!$M63&gt;0,'Loan Entry'!$F63-'Loan Entry'!$AD63,"")</f>
        <v/>
      </c>
      <c r="AF63" s="651" t="str">
        <f>IF(AE63&gt;0,AC63,0)</f>
        <v/>
      </c>
      <c r="AG63" s="651"/>
      <c r="AH63" s="667" t="str">
        <f>IF(AE63&lt;&gt;0,IF(AE63&lt;AD63,AE63,IF(E63&gt;0,IF('Loan Entry'!$M63&lt;&gt;0,CUMPRINC(E63/Q63,(O63-T63),AE63,1,T63,0)*-1,),'Loan Entry'!$AC63)),0)</f>
        <v/>
      </c>
      <c r="AI63" s="667">
        <f>IF(M63&gt;0,AE63-AH63,0)</f>
        <v>0</v>
      </c>
    </row>
    <row r="64" spans="1:35" ht="24.95" customHeight="1" x14ac:dyDescent="0.2">
      <c r="A64" s="460" t="str">
        <f>IF('Loan Entry'!$M64&gt;0,DATE((G64+1),1,1),"")</f>
        <v/>
      </c>
      <c r="B64" s="337"/>
      <c r="C64" s="338"/>
      <c r="D64" s="589"/>
      <c r="E64" s="939"/>
      <c r="F64" s="339"/>
      <c r="G64" s="340"/>
      <c r="H64" s="450" t="str">
        <f>IF(I64&gt;0,ROUNDDOWN(Year+I64,0),"")</f>
        <v/>
      </c>
      <c r="I64" s="340"/>
      <c r="J64" s="340"/>
      <c r="K64" s="450" t="e">
        <f>IF(H64&gt;0,IF(H64-Year=0,"yes","no"),"")</f>
        <v>#VALUE!</v>
      </c>
      <c r="L64" s="450" t="str">
        <f>IF('Loan Entry'!$J64&gt;0,DATE(G64,INDEX(Inputs!$C$4:$D$15,MATCH(J64,Months,0),2),1),"")</f>
        <v/>
      </c>
      <c r="M64" s="340"/>
      <c r="N64" s="450" t="str">
        <f>IF(M64&lt;&gt;0,IF(AND(K64="yes",M64="Monthly")=TRUE,CHOOSE(R64,"January","February","March","April","May","June","July","August","September","October","November","December"),RIGHT(AB64,3)),"")</f>
        <v/>
      </c>
      <c r="O64" s="581" t="str">
        <f>IF('Loan Entry'!$M64&gt;0,'Loan Entry'!$I64*'Loan Entry'!$Q64,"")</f>
        <v/>
      </c>
      <c r="P64" s="581" t="str">
        <f>IF(M64&gt;0,(H64-(G64-1))*IF(M64="Monthly",12,IF(M64="Quarterly",4,IF(M64="Semi-Annual",2,1))),"")</f>
        <v/>
      </c>
      <c r="Q64" s="581" t="str">
        <f>IF(M64&gt;0,IF(M64="Monthly",12,IF(M64="Quarterly",4,IF(M64="Semi-Annual",2,1))),"")</f>
        <v/>
      </c>
      <c r="R64" s="581" t="str">
        <f>IF(M64&gt;0,IF(I64&lt;1,IF(M64="Annual",1,(YEARFRAC(L64,A64,))*IF(M64="Monthly",O64,IF(M64="quarterly",O64*3,IF(M64="semi-annual",O64*2,12)))),IF(M64="Annual",1,(YEARFRAC(L64,A64,))*12)),"")</f>
        <v/>
      </c>
      <c r="S64" s="581">
        <f>IF(M64&gt;0,INDEX(Inputs!$J$26:$K$37,MATCH('Loan Entry'!N64,Inputs!$J$26:$J$37,0),2)/12,0)</f>
        <v>0</v>
      </c>
      <c r="T64" s="581" t="str">
        <f>IF(M64&lt;&gt;0,IF(R64&gt;12,12,ROUNDUP(IF(M64="Monthly",12*(R64/Q64),IF(M64="Quarterly",((R64/12)*Q64),IF(M64="Semi-Annual",IF(((R64/12)*Q64)&gt;1,2,1),1))),0)),"")</f>
        <v/>
      </c>
      <c r="U64" s="581" t="str">
        <f>IF(M64&gt;0,T64/Q64,"")</f>
        <v/>
      </c>
      <c r="V64" s="581" t="str">
        <f>IF('Loan Entry'!$M64&gt;0,IF(U64=1,X64/T64,(X64/T64)),"")</f>
        <v/>
      </c>
      <c r="W64" s="581" t="str">
        <f>IF('Loan Entry'!$M64&gt;0,IF(U64=1,Y64/T64,U64*(Y64/T64)),"")</f>
        <v/>
      </c>
      <c r="X64" s="581" t="str">
        <f>IF(E64&gt;0,IF('Loan Entry'!$M64&lt;&gt;0,CUMPRINC((365/360)*E64/Q64,O64,F64,1,T64,0)*-1,),'Loan Entry'!$AC64)</f>
        <v/>
      </c>
      <c r="Y64" s="581">
        <f>IF(E64&gt;0,IF('Loan Entry'!$M64&lt;&gt;0,CUMIPMT(((365/360)*E64)/Q64,O64,F64,1,T64,0)*-1,),0)</f>
        <v>0</v>
      </c>
      <c r="Z64" s="581">
        <f>IF(ISERROR(S64*IF(E64&gt;0,IF('Loan Entry'!$M64&lt;&gt;0,CUMIPMT(((365/360)*E64)/Q64,O64,F64,1,T64,0)*-1,),0))=FALSE,S64*IF(E64&gt;0,IF('Loan Entry'!$M64&lt;&gt;0,CUMIPMT(((365/360)*E64)/Q64,O64,F64,1,T64,0)*-1,),0),0)</f>
        <v>0</v>
      </c>
      <c r="AA64" s="581">
        <f>IF(ISERROR(S64*IF(E64&gt;0,IF('Loan Entry'!$M64&lt;&gt;0,CUMIPMT(((365/360)*E64)/Q64,O64-T64,F64,1+T64,T64+T64,0)*-1,),0))=FALSE,S64*IF(E64&gt;0,IF('Loan Entry'!$M64&lt;&gt;0,CUMIPMT(((365/360)*E64)/Q64,O64-T64,F64,1+T64,T64+T64,0)*-1,),0),0)</f>
        <v>0</v>
      </c>
      <c r="AB64" s="581" t="str">
        <f>IF(M64&lt;&gt;0,IF(K64="no",IF(M64="annual",INDEX(Inputs!$C$4:$E$15,MATCH('Loan Entry'!J64,Months,0),3),IF(M64="semi-annual",IF(T64=2,CONCATENATE(INDEX(Inputs!$C$4:$E$15,MATCH('Loan Entry'!J64,Months,0),3),",",INDEX(Inputs!$C$4:$E$15,MATCH(MONTH(L64+190),Inputs!$D$4:$D$15,0),3)),INDEX(Inputs!$C$4:$E$15,MATCH('Loan Entry'!J64,Months,0),3)),IF(M64="Quarterly",IF(T64=4,CONCATENATE(INDEX(Inputs!$C$4:$E$15,MATCH('Loan Entry'!J64,Months,0),3),",",INDEX(Inputs!$C$4:$E$15,MATCH(MONTH(L64+95),Inputs!$D$4:$D$15,0),3),",",INDEX(Inputs!$C$4:$E$15,MATCH(MONTH(L64+190),Inputs!$D$4:$D$15,0),3),",",INDEX(Inputs!$C$4:$E$15,MATCH(MONTH(L64+275),Inputs!$D$4:$D$15,0),3)),IF(T64=3,CONCATENATE(INDEX(Inputs!$C$4:$E$15,MATCH('Loan Entry'!J64,Months,0),3),",",INDEX(Inputs!$C$4:$E$15,MATCH(MONTH(L64+95),Inputs!$D$4:$D$15,0),3),",",INDEX(Inputs!$C$4:$E$15,MATCH(MONTH(L64+190),Inputs!$D$4:$D$15,0),3)),IF(T64=2,CONCATENATE(INDEX(Inputs!$C$4:$E$15,MATCH('Loan Entry'!J64,Months,0),3),",",INDEX(Inputs!$C$4:$E$15,MATCH(MONTH(L64+95),Inputs!$D$4:$D$15,0),3)),INDEX(Inputs!$C$4:$E$15,MATCH('Loan Entry'!J64,Months,0),3)))),INDEX(Inputs!$C$4:$F$15,MATCH('Loan Entry'!J64,Months,0),4)))),IF(M64="annual",INDEX(Inputs!$C$4:$E$15,MATCH('Loan Entry'!J64,Months,0),3),IF(M64="semi-annual",IF(T64=2,CONCATENATE(INDEX(Inputs!$C$4:$E$15,MATCH('Loan Entry'!J64,Months,0),3),",",INDEX(Inputs!$C$4:$E$15,MATCH(MONTH(L64+190),Inputs!$D$4:$D$15,0),3)),INDEX(Inputs!$C$4:$E$15,MATCH('Loan Entry'!J64,Months,0),3)),IF(M64="Quarterly",IF(T64=4,CONCATENATE(INDEX(Inputs!$C$4:$E$15,MATCH('Loan Entry'!J64,Months,0),3),",",INDEX(Inputs!$C$4:$E$15,MATCH(MONTH(L64+95),Inputs!$D$4:$D$15,0),3),",",INDEX(Inputs!$C$4:$E$15,MATCH(MONTH(L64+190),Inputs!$D$4:$D$15,0),3),",",INDEX(Inputs!$C$4:$E$15,MATCH(MONTH(L64+275),Inputs!$D$4:$D$15,0),3)),IF(T64=3,CONCATENATE(INDEX(Inputs!$C$4:$E$15,MATCH('Loan Entry'!J64,Months,0),3),",",INDEX(Inputs!$C$4:$E$15,MATCH(MONTH(L64+95),Inputs!$D$4:$D$15,0),3),",",INDEX(Inputs!$C$4:$E$15,MATCH(MONTH(L64+190),Inputs!$D$4:$D$15,0),3)),IF(T64=2,CONCATENATE(INDEX(Inputs!$C$4:$E$15,MATCH('Loan Entry'!J64,Months,0),3),",",INDEX(Inputs!$C$4:$E$15,MATCH(MONTH(L64+95),Inputs!$D$4:$D$15,0),3)),INDEX(Inputs!$C$4:$G$15,MATCH('Loan Entry'!J64,Months,0),3)))),INDEX(Inputs!$C$4:$G$15,MATCH('Loan Entry'!N64,Months,0),5))))),"")</f>
        <v/>
      </c>
      <c r="AC64" s="925" t="str">
        <f>IF('Loan Entry'!$M64&gt;0,PMT((365/360)*'Loan Entry'!$E64/'Loan Entry'!$Q64,'Loan Entry'!$O64,'Loan Entry'!$F64*-1)*MIN('Loan Entry'!$Q64,O64),"")</f>
        <v/>
      </c>
      <c r="AD64" s="926" t="str">
        <f>IF(F64&gt;0,IF('Loan Entry'!$M64&lt;&gt;0,IF(U64=1,X64,IF(E64=0,U64*X64,X64)),'Loan Entry'!$AC64),"")</f>
        <v/>
      </c>
      <c r="AE64" s="930" t="str">
        <f>IF('Loan Entry'!$M64&gt;0,'Loan Entry'!$F64-'Loan Entry'!$AD64,"")</f>
        <v/>
      </c>
      <c r="AF64" s="651" t="str">
        <f>IF(AE64&gt;0,AC64,0)</f>
        <v/>
      </c>
      <c r="AG64" s="651"/>
      <c r="AH64" s="667" t="str">
        <f>IF(AE64&lt;&gt;0,IF(AE64&lt;AD64,AE64,IF(E64&gt;0,IF('Loan Entry'!$M64&lt;&gt;0,CUMPRINC(E64/Q64,(O64-T64),AE64,1,T64,0)*-1,),'Loan Entry'!$AC64)),0)</f>
        <v/>
      </c>
      <c r="AI64" s="667">
        <f>IF(M64&gt;0,AE64-AH64,0)</f>
        <v>0</v>
      </c>
    </row>
    <row r="65" spans="1:35" ht="24.95" customHeight="1" x14ac:dyDescent="0.2">
      <c r="A65" s="460" t="str">
        <f>IF('Loan Entry'!$M65&gt;0,DATE((G65+1),1,1),"")</f>
        <v/>
      </c>
      <c r="B65" s="341"/>
      <c r="C65" s="342"/>
      <c r="D65" s="590"/>
      <c r="E65" s="940"/>
      <c r="F65" s="343"/>
      <c r="G65" s="344"/>
      <c r="H65" s="451" t="str">
        <f>IF(I65&gt;0,ROUNDDOWN(Year+I65,0),"")</f>
        <v/>
      </c>
      <c r="I65" s="344"/>
      <c r="J65" s="344"/>
      <c r="K65" s="451" t="e">
        <f>IF(H65&gt;0,IF(H65-Year=0,"yes","no"),"")</f>
        <v>#VALUE!</v>
      </c>
      <c r="L65" s="451" t="str">
        <f>IF('Loan Entry'!$J65&gt;0,DATE(G65,INDEX(Inputs!$C$4:$D$15,MATCH(J65,Months,0),2),1),"")</f>
        <v/>
      </c>
      <c r="M65" s="344"/>
      <c r="N65" s="451" t="str">
        <f>IF(M65&lt;&gt;0,IF(AND(K65="yes",M65="Monthly")=TRUE,CHOOSE(R65,"January","February","March","April","May","June","July","August","September","October","November","December"),RIGHT(AB65,3)),"")</f>
        <v/>
      </c>
      <c r="O65" s="583" t="str">
        <f>IF('Loan Entry'!$M65&gt;0,'Loan Entry'!$I65*'Loan Entry'!$Q65,"")</f>
        <v/>
      </c>
      <c r="P65" s="583" t="str">
        <f>IF(M65&gt;0,(H65-(G65-1))*IF(M65="Monthly",12,IF(M65="Quarterly",4,IF(M65="Semi-Annual",2,1))),"")</f>
        <v/>
      </c>
      <c r="Q65" s="583" t="str">
        <f>IF(M65&gt;0,IF(M65="Monthly",12,IF(M65="Quarterly",4,IF(M65="Semi-Annual",2,1))),"")</f>
        <v/>
      </c>
      <c r="R65" s="583" t="str">
        <f>IF(M65&gt;0,IF(I65&lt;1,IF(M65="Annual",1,(YEARFRAC(L65,A65,))*IF(M65="Monthly",O65,IF(M65="quarterly",O65*3,IF(M65="semi-annual",O65*2,12)))),IF(M65="Annual",1,(YEARFRAC(L65,A65,))*12)),"")</f>
        <v/>
      </c>
      <c r="S65" s="583">
        <f>IF(M65&gt;0,INDEX(Inputs!$J$26:$K$37,MATCH('Loan Entry'!N65,Inputs!$J$26:$J$37,0),2)/12,0)</f>
        <v>0</v>
      </c>
      <c r="T65" s="583" t="str">
        <f>IF(M65&lt;&gt;0,IF(R65&gt;12,12,ROUNDUP(IF(M65="Monthly",12*(R65/Q65),IF(M65="Quarterly",((R65/12)*Q65),IF(M65="Semi-Annual",IF(((R65/12)*Q65)&gt;1,2,1),1))),0)),"")</f>
        <v/>
      </c>
      <c r="U65" s="583" t="str">
        <f>IF(M65&gt;0,T65/Q65,"")</f>
        <v/>
      </c>
      <c r="V65" s="583" t="str">
        <f>IF('Loan Entry'!$M65&gt;0,IF(U65=1,X65/T65,(X65/T65)),"")</f>
        <v/>
      </c>
      <c r="W65" s="583" t="str">
        <f>IF('Loan Entry'!$M65&gt;0,IF(U65=1,Y65/T65,U65*(Y65/T65)),"")</f>
        <v/>
      </c>
      <c r="X65" s="583" t="str">
        <f>IF(E65&gt;0,IF('Loan Entry'!$M65&lt;&gt;0,CUMPRINC((365/360)*E65/Q65,O65,F65,1,T65,0)*-1,),'Loan Entry'!$AC65)</f>
        <v/>
      </c>
      <c r="Y65" s="583">
        <f>IF(E65&gt;0,IF('Loan Entry'!$M65&lt;&gt;0,CUMIPMT(((365/360)*E65)/Q65,O65,F65,1,T65,0)*-1,),0)</f>
        <v>0</v>
      </c>
      <c r="Z65" s="583">
        <f>IF(ISERROR(S65*IF(E65&gt;0,IF('Loan Entry'!$M65&lt;&gt;0,CUMIPMT(((365/360)*E65)/Q65,O65,F65,1,T65,0)*-1,),0))=FALSE,S65*IF(E65&gt;0,IF('Loan Entry'!$M65&lt;&gt;0,CUMIPMT(((365/360)*E65)/Q65,O65,F65,1,T65,0)*-1,),0),0)</f>
        <v>0</v>
      </c>
      <c r="AA65" s="583">
        <f>IF(ISERROR(S65*IF(E65&gt;0,IF('Loan Entry'!$M65&lt;&gt;0,CUMIPMT(((365/360)*E65)/Q65,O65-T65,F65,1+T65,T65+T65,0)*-1,),0))=FALSE,S65*IF(E65&gt;0,IF('Loan Entry'!$M65&lt;&gt;0,CUMIPMT(((365/360)*E65)/Q65,O65-T65,F65,1+T65,T65+T65,0)*-1,),0),0)</f>
        <v>0</v>
      </c>
      <c r="AB65" s="583" t="str">
        <f>IF(M65&lt;&gt;0,IF(K65="no",IF(M65="annual",INDEX(Inputs!$C$4:$E$15,MATCH('Loan Entry'!J65,Months,0),3),IF(M65="semi-annual",IF(T65=2,CONCATENATE(INDEX(Inputs!$C$4:$E$15,MATCH('Loan Entry'!J65,Months,0),3),",",INDEX(Inputs!$C$4:$E$15,MATCH(MONTH(L65+190),Inputs!$D$4:$D$15,0),3)),INDEX(Inputs!$C$4:$E$15,MATCH('Loan Entry'!J65,Months,0),3)),IF(M65="Quarterly",IF(T65=4,CONCATENATE(INDEX(Inputs!$C$4:$E$15,MATCH('Loan Entry'!J65,Months,0),3),",",INDEX(Inputs!$C$4:$E$15,MATCH(MONTH(L65+95),Inputs!$D$4:$D$15,0),3),",",INDEX(Inputs!$C$4:$E$15,MATCH(MONTH(L65+190),Inputs!$D$4:$D$15,0),3),",",INDEX(Inputs!$C$4:$E$15,MATCH(MONTH(L65+275),Inputs!$D$4:$D$15,0),3)),IF(T65=3,CONCATENATE(INDEX(Inputs!$C$4:$E$15,MATCH('Loan Entry'!J65,Months,0),3),",",INDEX(Inputs!$C$4:$E$15,MATCH(MONTH(L65+95),Inputs!$D$4:$D$15,0),3),",",INDEX(Inputs!$C$4:$E$15,MATCH(MONTH(L65+190),Inputs!$D$4:$D$15,0),3)),IF(T65=2,CONCATENATE(INDEX(Inputs!$C$4:$E$15,MATCH('Loan Entry'!J65,Months,0),3),",",INDEX(Inputs!$C$4:$E$15,MATCH(MONTH(L65+95),Inputs!$D$4:$D$15,0),3)),INDEX(Inputs!$C$4:$E$15,MATCH('Loan Entry'!J65,Months,0),3)))),INDEX(Inputs!$C$4:$F$15,MATCH('Loan Entry'!J65,Months,0),4)))),IF(M65="annual",INDEX(Inputs!$C$4:$E$15,MATCH('Loan Entry'!J65,Months,0),3),IF(M65="semi-annual",IF(T65=2,CONCATENATE(INDEX(Inputs!$C$4:$E$15,MATCH('Loan Entry'!J65,Months,0),3),",",INDEX(Inputs!$C$4:$E$15,MATCH(MONTH(L65+190),Inputs!$D$4:$D$15,0),3)),INDEX(Inputs!$C$4:$E$15,MATCH('Loan Entry'!J65,Months,0),3)),IF(M65="Quarterly",IF(T65=4,CONCATENATE(INDEX(Inputs!$C$4:$E$15,MATCH('Loan Entry'!J65,Months,0),3),",",INDEX(Inputs!$C$4:$E$15,MATCH(MONTH(L65+95),Inputs!$D$4:$D$15,0),3),",",INDEX(Inputs!$C$4:$E$15,MATCH(MONTH(L65+190),Inputs!$D$4:$D$15,0),3),",",INDEX(Inputs!$C$4:$E$15,MATCH(MONTH(L65+275),Inputs!$D$4:$D$15,0),3)),IF(T65=3,CONCATENATE(INDEX(Inputs!$C$4:$E$15,MATCH('Loan Entry'!J65,Months,0),3),",",INDEX(Inputs!$C$4:$E$15,MATCH(MONTH(L65+95),Inputs!$D$4:$D$15,0),3),",",INDEX(Inputs!$C$4:$E$15,MATCH(MONTH(L65+190),Inputs!$D$4:$D$15,0),3)),IF(T65=2,CONCATENATE(INDEX(Inputs!$C$4:$E$15,MATCH('Loan Entry'!J65,Months,0),3),",",INDEX(Inputs!$C$4:$E$15,MATCH(MONTH(L65+95),Inputs!$D$4:$D$15,0),3)),INDEX(Inputs!$C$4:$G$15,MATCH('Loan Entry'!J65,Months,0),3)))),INDEX(Inputs!$C$4:$G$15,MATCH('Loan Entry'!N65,Months,0),5))))),"")</f>
        <v/>
      </c>
      <c r="AC65" s="927" t="str">
        <f>IF('Loan Entry'!$M65&gt;0,PMT((365/360)*'Loan Entry'!$E65/'Loan Entry'!$Q65,'Loan Entry'!$O65,'Loan Entry'!$F65*-1)*MIN('Loan Entry'!$Q65,O65),"")</f>
        <v/>
      </c>
      <c r="AD65" s="926" t="str">
        <f>IF(F65&gt;0,IF('Loan Entry'!$M65&lt;&gt;0,IF(U65=1,X65,IF(E65=0,U65*X65,X65)),'Loan Entry'!$AC65),"")</f>
        <v/>
      </c>
      <c r="AE65" s="931" t="str">
        <f>IF('Loan Entry'!$M65&gt;0,'Loan Entry'!$F65-'Loan Entry'!$AD65,"")</f>
        <v/>
      </c>
      <c r="AF65" s="651" t="str">
        <f>IF(AE65&gt;0,AC65,0)</f>
        <v/>
      </c>
      <c r="AG65" s="651"/>
      <c r="AH65" s="667" t="str">
        <f>IF(AE65&lt;&gt;0,IF(AE65&lt;AD65,AE65,IF(E65&gt;0,IF('Loan Entry'!$M65&lt;&gt;0,CUMPRINC(E65/Q65,(O65-T65),AE65,1,T65,0)*-1,),'Loan Entry'!$AC65)),0)</f>
        <v/>
      </c>
      <c r="AI65" s="667">
        <f>IF(M65&gt;0,AE65-AH65,0)</f>
        <v>0</v>
      </c>
    </row>
    <row r="66" spans="1:35" ht="24.95" customHeight="1" x14ac:dyDescent="0.2">
      <c r="A66" s="460" t="str">
        <f>IF('Loan Entry'!$M66&gt;0,DATE((G66+1),1,1),"")</f>
        <v/>
      </c>
      <c r="B66" s="337"/>
      <c r="C66" s="338"/>
      <c r="D66" s="589"/>
      <c r="E66" s="939"/>
      <c r="F66" s="339"/>
      <c r="G66" s="340"/>
      <c r="H66" s="450" t="str">
        <f>IF(I66&gt;0,ROUNDDOWN(Year+I66,0),"")</f>
        <v/>
      </c>
      <c r="I66" s="340"/>
      <c r="J66" s="340"/>
      <c r="K66" s="450" t="e">
        <f>IF(H66&gt;0,IF(H66-Year=0,"yes","no"),"")</f>
        <v>#VALUE!</v>
      </c>
      <c r="L66" s="450" t="str">
        <f>IF('Loan Entry'!$J66&gt;0,DATE(G66,INDEX(Inputs!$C$4:$D$15,MATCH(J66,Months,0),2),1),"")</f>
        <v/>
      </c>
      <c r="M66" s="340"/>
      <c r="N66" s="450" t="str">
        <f>IF(M66&lt;&gt;0,IF(AND(K66="yes",M66="Monthly")=TRUE,CHOOSE(R66,"January","February","March","April","May","June","July","August","September","October","November","December"),RIGHT(AB66,3)),"")</f>
        <v/>
      </c>
      <c r="O66" s="581" t="str">
        <f>IF('Loan Entry'!$M66&gt;0,'Loan Entry'!$I66*'Loan Entry'!$Q66,"")</f>
        <v/>
      </c>
      <c r="P66" s="581" t="str">
        <f>IF(M66&gt;0,(H66-(G66-1))*IF(M66="Monthly",12,IF(M66="Quarterly",4,IF(M66="Semi-Annual",2,1))),"")</f>
        <v/>
      </c>
      <c r="Q66" s="581" t="str">
        <f>IF(M66&gt;0,IF(M66="Monthly",12,IF(M66="Quarterly",4,IF(M66="Semi-Annual",2,1))),"")</f>
        <v/>
      </c>
      <c r="R66" s="581" t="str">
        <f>IF(M66&gt;0,IF(I66&lt;1,IF(M66="Annual",1,(YEARFRAC(L66,A66,))*IF(M66="Monthly",O66,IF(M66="quarterly",O66*3,IF(M66="semi-annual",O66*2,12)))),IF(M66="Annual",1,(YEARFRAC(L66,A66,))*12)),"")</f>
        <v/>
      </c>
      <c r="S66" s="581">
        <f>IF(M66&gt;0,INDEX(Inputs!$J$26:$K$37,MATCH('Loan Entry'!N66,Inputs!$J$26:$J$37,0),2)/12,0)</f>
        <v>0</v>
      </c>
      <c r="T66" s="581" t="str">
        <f>IF(M66&lt;&gt;0,IF(R66&gt;12,12,ROUNDUP(IF(M66="Monthly",12*(R66/Q66),IF(M66="Quarterly",((R66/12)*Q66),IF(M66="Semi-Annual",IF(((R66/12)*Q66)&gt;1,2,1),1))),0)),"")</f>
        <v/>
      </c>
      <c r="U66" s="581" t="str">
        <f>IF(M66&gt;0,T66/Q66,"")</f>
        <v/>
      </c>
      <c r="V66" s="581" t="str">
        <f>IF('Loan Entry'!$M66&gt;0,IF(U66=1,X66/T66,(X66/T66)),"")</f>
        <v/>
      </c>
      <c r="W66" s="581" t="str">
        <f>IF('Loan Entry'!$M66&gt;0,IF(U66=1,Y66/T66,U66*(Y66/T66)),"")</f>
        <v/>
      </c>
      <c r="X66" s="581" t="str">
        <f>IF(E66&gt;0,IF('Loan Entry'!$M66&lt;&gt;0,CUMPRINC((365/360)*E66/Q66,O66,F66,1,T66,0)*-1,),'Loan Entry'!$AC66)</f>
        <v/>
      </c>
      <c r="Y66" s="581">
        <f>IF(E66&gt;0,IF('Loan Entry'!$M66&lt;&gt;0,CUMIPMT(((365/360)*E66)/Q66,O66,F66,1,T66,0)*-1,),0)</f>
        <v>0</v>
      </c>
      <c r="Z66" s="581">
        <f>IF(ISERROR(S66*IF(E66&gt;0,IF('Loan Entry'!$M66&lt;&gt;0,CUMIPMT(((365/360)*E66)/Q66,O66,F66,1,T66,0)*-1,),0))=FALSE,S66*IF(E66&gt;0,IF('Loan Entry'!$M66&lt;&gt;0,CUMIPMT(((365/360)*E66)/Q66,O66,F66,1,T66,0)*-1,),0),0)</f>
        <v>0</v>
      </c>
      <c r="AA66" s="581">
        <f>IF(ISERROR(S66*IF(E66&gt;0,IF('Loan Entry'!$M66&lt;&gt;0,CUMIPMT(((365/360)*E66)/Q66,O66-T66,F66,1+T66,T66+T66,0)*-1,),0))=FALSE,S66*IF(E66&gt;0,IF('Loan Entry'!$M66&lt;&gt;0,CUMIPMT(((365/360)*E66)/Q66,O66-T66,F66,1+T66,T66+T66,0)*-1,),0),0)</f>
        <v>0</v>
      </c>
      <c r="AB66" s="581" t="str">
        <f>IF(M66&lt;&gt;0,IF(K66="no",IF(M66="annual",INDEX(Inputs!$C$4:$E$15,MATCH('Loan Entry'!J66,Months,0),3),IF(M66="semi-annual",IF(T66=2,CONCATENATE(INDEX(Inputs!$C$4:$E$15,MATCH('Loan Entry'!J66,Months,0),3),",",INDEX(Inputs!$C$4:$E$15,MATCH(MONTH(L66+190),Inputs!$D$4:$D$15,0),3)),INDEX(Inputs!$C$4:$E$15,MATCH('Loan Entry'!J66,Months,0),3)),IF(M66="Quarterly",IF(T66=4,CONCATENATE(INDEX(Inputs!$C$4:$E$15,MATCH('Loan Entry'!J66,Months,0),3),",",INDEX(Inputs!$C$4:$E$15,MATCH(MONTH(L66+95),Inputs!$D$4:$D$15,0),3),",",INDEX(Inputs!$C$4:$E$15,MATCH(MONTH(L66+190),Inputs!$D$4:$D$15,0),3),",",INDEX(Inputs!$C$4:$E$15,MATCH(MONTH(L66+275),Inputs!$D$4:$D$15,0),3)),IF(T66=3,CONCATENATE(INDEX(Inputs!$C$4:$E$15,MATCH('Loan Entry'!J66,Months,0),3),",",INDEX(Inputs!$C$4:$E$15,MATCH(MONTH(L66+95),Inputs!$D$4:$D$15,0),3),",",INDEX(Inputs!$C$4:$E$15,MATCH(MONTH(L66+190),Inputs!$D$4:$D$15,0),3)),IF(T66=2,CONCATENATE(INDEX(Inputs!$C$4:$E$15,MATCH('Loan Entry'!J66,Months,0),3),",",INDEX(Inputs!$C$4:$E$15,MATCH(MONTH(L66+95),Inputs!$D$4:$D$15,0),3)),INDEX(Inputs!$C$4:$E$15,MATCH('Loan Entry'!J66,Months,0),3)))),INDEX(Inputs!$C$4:$F$15,MATCH('Loan Entry'!J66,Months,0),4)))),IF(M66="annual",INDEX(Inputs!$C$4:$E$15,MATCH('Loan Entry'!J66,Months,0),3),IF(M66="semi-annual",IF(T66=2,CONCATENATE(INDEX(Inputs!$C$4:$E$15,MATCH('Loan Entry'!J66,Months,0),3),",",INDEX(Inputs!$C$4:$E$15,MATCH(MONTH(L66+190),Inputs!$D$4:$D$15,0),3)),INDEX(Inputs!$C$4:$E$15,MATCH('Loan Entry'!J66,Months,0),3)),IF(M66="Quarterly",IF(T66=4,CONCATENATE(INDEX(Inputs!$C$4:$E$15,MATCH('Loan Entry'!J66,Months,0),3),",",INDEX(Inputs!$C$4:$E$15,MATCH(MONTH(L66+95),Inputs!$D$4:$D$15,0),3),",",INDEX(Inputs!$C$4:$E$15,MATCH(MONTH(L66+190),Inputs!$D$4:$D$15,0),3),",",INDEX(Inputs!$C$4:$E$15,MATCH(MONTH(L66+275),Inputs!$D$4:$D$15,0),3)),IF(T66=3,CONCATENATE(INDEX(Inputs!$C$4:$E$15,MATCH('Loan Entry'!J66,Months,0),3),",",INDEX(Inputs!$C$4:$E$15,MATCH(MONTH(L66+95),Inputs!$D$4:$D$15,0),3),",",INDEX(Inputs!$C$4:$E$15,MATCH(MONTH(L66+190),Inputs!$D$4:$D$15,0),3)),IF(T66=2,CONCATENATE(INDEX(Inputs!$C$4:$E$15,MATCH('Loan Entry'!J66,Months,0),3),",",INDEX(Inputs!$C$4:$E$15,MATCH(MONTH(L66+95),Inputs!$D$4:$D$15,0),3)),INDEX(Inputs!$C$4:$G$15,MATCH('Loan Entry'!J66,Months,0),3)))),INDEX(Inputs!$C$4:$G$15,MATCH('Loan Entry'!N66,Months,0),5))))),"")</f>
        <v/>
      </c>
      <c r="AC66" s="925" t="str">
        <f>IF('Loan Entry'!$M66&gt;0,PMT((365/360)*'Loan Entry'!$E66/'Loan Entry'!$Q66,'Loan Entry'!$O66,'Loan Entry'!$F66*-1)*MIN('Loan Entry'!$Q66,O66),"")</f>
        <v/>
      </c>
      <c r="AD66" s="926" t="str">
        <f>IF(F66&gt;0,IF('Loan Entry'!$M66&lt;&gt;0,IF(U66=1,X66,IF(E66=0,U66*X66,X66)),'Loan Entry'!$AC66),"")</f>
        <v/>
      </c>
      <c r="AE66" s="930" t="str">
        <f>IF('Loan Entry'!$M66&gt;0,'Loan Entry'!$F66-'Loan Entry'!$AD66,"")</f>
        <v/>
      </c>
      <c r="AF66" s="651" t="str">
        <f>IF(AE66&gt;0,AC66,0)</f>
        <v/>
      </c>
      <c r="AG66" s="651"/>
      <c r="AH66" s="667" t="str">
        <f>IF(AE66&lt;&gt;0,IF(AE66&lt;AD66,AE66,IF(E66&gt;0,IF('Loan Entry'!$M66&lt;&gt;0,CUMPRINC(E66/Q66,(O66-T66),AE66,1,T66,0)*-1,),'Loan Entry'!$AC66)),0)</f>
        <v/>
      </c>
      <c r="AI66" s="667">
        <f>IF(M66&gt;0,AE66-AH66,0)</f>
        <v>0</v>
      </c>
    </row>
    <row r="67" spans="1:35" ht="24.95" customHeight="1" x14ac:dyDescent="0.2">
      <c r="A67" s="460" t="str">
        <f>IF('Loan Entry'!$M74&gt;0,DATE((G74+1),1,1),"")</f>
        <v/>
      </c>
      <c r="B67" s="952" t="str">
        <f>CONCATENATE("Sub-Total ",B61)</f>
        <v>Sub-Total Personal Loans</v>
      </c>
      <c r="C67" s="952"/>
      <c r="D67" s="952"/>
      <c r="E67" s="952"/>
      <c r="F67" s="952"/>
      <c r="G67" s="952"/>
      <c r="H67" s="952"/>
      <c r="I67" s="952"/>
      <c r="J67" s="952"/>
      <c r="K67" s="952"/>
      <c r="L67" s="952"/>
      <c r="M67" s="952"/>
      <c r="N67" s="952"/>
      <c r="O67" s="952"/>
      <c r="P67" s="952"/>
      <c r="Q67" s="952"/>
      <c r="R67" s="952"/>
      <c r="S67" s="952"/>
      <c r="T67" s="952"/>
      <c r="U67" s="952"/>
      <c r="V67" s="952"/>
      <c r="W67" s="952"/>
      <c r="X67" s="952"/>
      <c r="Y67" s="952"/>
      <c r="Z67" s="952"/>
      <c r="AA67" s="952"/>
      <c r="AB67" s="952"/>
      <c r="AC67" s="952"/>
      <c r="AD67" s="279">
        <f>SUM('Loan Entry'!$AD$63:$AD$66)</f>
        <v>0</v>
      </c>
      <c r="AE67" s="279">
        <f>SUM('Loan Entry'!$AE$63:$AE$66)</f>
        <v>0</v>
      </c>
      <c r="AH67" s="667">
        <f>SUM(AH63:AH66)</f>
        <v>0</v>
      </c>
      <c r="AI67" s="667">
        <f>SUM(AI63:AI66)</f>
        <v>0</v>
      </c>
    </row>
    <row r="68" spans="1:35" ht="24.95" customHeight="1" x14ac:dyDescent="0.2">
      <c r="AH68" s="667"/>
      <c r="AI68" s="667"/>
    </row>
    <row r="69" spans="1:35" ht="24.95" customHeight="1" x14ac:dyDescent="0.2">
      <c r="B69" s="953" t="s">
        <v>204</v>
      </c>
      <c r="C69" s="953"/>
      <c r="D69" s="953"/>
      <c r="E69" s="953"/>
      <c r="F69" s="953"/>
      <c r="G69" s="953"/>
      <c r="H69" s="953"/>
      <c r="I69" s="953"/>
      <c r="J69" s="953"/>
      <c r="K69" s="953"/>
      <c r="L69" s="953"/>
      <c r="M69" s="953"/>
      <c r="N69" s="953"/>
      <c r="O69" s="953"/>
      <c r="P69" s="953"/>
      <c r="Q69" s="953"/>
      <c r="R69" s="953"/>
      <c r="S69" s="953"/>
      <c r="T69" s="953"/>
      <c r="U69" s="953"/>
      <c r="V69" s="953"/>
      <c r="W69" s="953"/>
      <c r="X69" s="953"/>
      <c r="Y69" s="953"/>
      <c r="Z69" s="953"/>
      <c r="AA69" s="953"/>
      <c r="AB69" s="953"/>
      <c r="AC69" s="953"/>
      <c r="AD69" s="953"/>
      <c r="AE69" s="953"/>
      <c r="AH69" s="667"/>
      <c r="AI69" s="667"/>
    </row>
    <row r="70" spans="1:35" ht="24.95" customHeight="1" thickBot="1" x14ac:dyDescent="0.25">
      <c r="B70" s="482" t="s">
        <v>91</v>
      </c>
      <c r="C70" s="483" t="s">
        <v>92</v>
      </c>
      <c r="D70" s="479" t="s">
        <v>176</v>
      </c>
      <c r="E70" s="484" t="s">
        <v>93</v>
      </c>
      <c r="F70" s="480" t="s">
        <v>115</v>
      </c>
      <c r="G70" s="480" t="s">
        <v>97</v>
      </c>
      <c r="H70" s="480" t="s">
        <v>231</v>
      </c>
      <c r="I70" s="485" t="s">
        <v>104</v>
      </c>
      <c r="J70" s="485" t="s">
        <v>182</v>
      </c>
      <c r="K70" s="570" t="s">
        <v>233</v>
      </c>
      <c r="L70" s="570" t="s">
        <v>236</v>
      </c>
      <c r="M70" s="480" t="s">
        <v>98</v>
      </c>
      <c r="N70" s="571" t="s">
        <v>234</v>
      </c>
      <c r="O70" s="571" t="s">
        <v>235</v>
      </c>
      <c r="P70" s="571" t="s">
        <v>232</v>
      </c>
      <c r="Q70" s="571" t="s">
        <v>107</v>
      </c>
      <c r="R70" s="571" t="s">
        <v>185</v>
      </c>
      <c r="S70" s="571" t="s">
        <v>438</v>
      </c>
      <c r="T70" s="571" t="s">
        <v>199</v>
      </c>
      <c r="U70" s="571" t="s">
        <v>205</v>
      </c>
      <c r="V70" s="571" t="s">
        <v>183</v>
      </c>
      <c r="W70" s="571" t="s">
        <v>184</v>
      </c>
      <c r="X70" s="571" t="s">
        <v>197</v>
      </c>
      <c r="Y70" s="571" t="s">
        <v>198</v>
      </c>
      <c r="Z70" s="571" t="s">
        <v>435</v>
      </c>
      <c r="AA70" s="571" t="s">
        <v>434</v>
      </c>
      <c r="AB70" s="571" t="s">
        <v>106</v>
      </c>
      <c r="AC70" s="485" t="s">
        <v>94</v>
      </c>
      <c r="AD70" s="485" t="s">
        <v>95</v>
      </c>
      <c r="AE70" s="485" t="s">
        <v>96</v>
      </c>
      <c r="AH70" s="667"/>
      <c r="AI70" s="667"/>
    </row>
    <row r="71" spans="1:35" ht="24.95" customHeight="1" thickTop="1" x14ac:dyDescent="0.2">
      <c r="A71" s="458" t="str">
        <f>IF('Loan Entry'!$M71&gt;0,DATE((G71+1),1,1),"")</f>
        <v/>
      </c>
      <c r="B71" s="333"/>
      <c r="C71" s="334"/>
      <c r="D71" s="588"/>
      <c r="E71" s="938"/>
      <c r="F71" s="335"/>
      <c r="G71" s="336"/>
      <c r="H71" s="449" t="str">
        <f>IF(I71&gt;0,ROUNDDOWN(Year+I71,0),"")</f>
        <v/>
      </c>
      <c r="I71" s="336"/>
      <c r="J71" s="336"/>
      <c r="K71" s="449" t="e">
        <f>IF(H71&gt;0,IF(H71-Year=0,"yes","no"),"")</f>
        <v>#VALUE!</v>
      </c>
      <c r="L71" s="449" t="str">
        <f>IF('Loan Entry'!$J71&gt;0,DATE(G71,INDEX(Inputs!$C$4:$D$15,MATCH(J71,Months,0),2),1),"")</f>
        <v/>
      </c>
      <c r="M71" s="336"/>
      <c r="N71" s="449" t="str">
        <f>IF(M71&lt;&gt;0,IF(AND(K71="yes",M71="Monthly")=TRUE,CHOOSE(R71,"January","February","March","April","May","June","July","August","September","October","November","December"),RIGHT(AB71,3)),"")</f>
        <v/>
      </c>
      <c r="O71" s="449" t="str">
        <f>IF('Loan Entry'!$M71&gt;0,'Loan Entry'!$I71*'Loan Entry'!$Q71,"")</f>
        <v/>
      </c>
      <c r="P71" s="449" t="str">
        <f>IF(M71&gt;0,(H71-(G71-1))*IF(M71="Monthly",12,IF(M71="Quarterly",4,IF(M71="Semi-Annual",2,1))),"")</f>
        <v/>
      </c>
      <c r="Q71" s="449" t="str">
        <f>IF(M71&gt;0,IF(M71="Monthly",12,IF(M71="Quarterly",4,IF(M71="Semi-Annual",2,1))),"")</f>
        <v/>
      </c>
      <c r="R71" s="449" t="str">
        <f>IF(M71&gt;0,IF(I71&lt;1,IF(M71="Annual",1,(YEARFRAC(L71,A71,))*IF(M71="Monthly",O71,IF(M71="quarterly",O71*3,IF(M71="semi-annual",O71*2,12)))),IF(M71="Annual",1,(YEARFRAC(L71,A71,))*12)),"")</f>
        <v/>
      </c>
      <c r="S71" s="449">
        <f>IF(M71&gt;0,INDEX(Inputs!$J$26:$K$37,MATCH('Loan Entry'!N71,Inputs!$J$26:$J$37,0),2)/12,0)</f>
        <v>0</v>
      </c>
      <c r="T71" s="449" t="str">
        <f>IF(M71&lt;&gt;0,IF(R71&gt;12,12,ROUNDUP(IF(M71="Monthly",12*(R71/Q71),IF(M71="Quarterly",((R71/12)*Q71),IF(M71="Semi-Annual",IF(((R71/12)*Q71)&gt;1,2,1),1))),0)),"")</f>
        <v/>
      </c>
      <c r="U71" s="449" t="str">
        <f>IF(M71&gt;0,T71/Q71,"")</f>
        <v/>
      </c>
      <c r="V71" s="449" t="str">
        <f>IF('Loan Entry'!$M71&gt;0,IF(U71=1,X71/T71,(X71/T71)),"")</f>
        <v/>
      </c>
      <c r="W71" s="449" t="str">
        <f>IF('Loan Entry'!$M71&gt;0,IF(U71=1,Y71/T71,U71*(Y71/T71)),"")</f>
        <v/>
      </c>
      <c r="X71" s="449" t="str">
        <f>IF(E71&gt;0,IF('Loan Entry'!$M71&lt;&gt;0,CUMPRINC((365/360)*E71/Q71,O71,F71,1,T71,0)*-1,),'Loan Entry'!$AC71)</f>
        <v/>
      </c>
      <c r="Y71" s="449">
        <f>IF(E71&gt;0,IF('Loan Entry'!$M71&lt;&gt;0,CUMIPMT(((365/360)*E71)/Q71,O71,F71,1,T71,0)*-1,),0)</f>
        <v>0</v>
      </c>
      <c r="Z71" s="449">
        <f>IF(ISERROR(S71*IF(E71&gt;0,IF('Loan Entry'!$M71&lt;&gt;0,CUMIPMT(((365/360)*E71)/Q71,O71,F71,1,T71,0)*-1,),0))=FALSE,S71*IF(E71&gt;0,IF('Loan Entry'!$M71&lt;&gt;0,CUMIPMT(((365/360)*E71)/Q71,O71,F71,1,T71,0)*-1,),0),0)</f>
        <v>0</v>
      </c>
      <c r="AA71" s="449">
        <f>IF(ISERROR(S71*IF(E71&gt;0,IF('Loan Entry'!$M71&lt;&gt;0,CUMIPMT(((365/360)*E71)/Q71,O71-T71,F71,1+T71,T71+T71,0)*-1,),0))=FALSE,S71*IF(E71&gt;0,IF('Loan Entry'!$M71&lt;&gt;0,CUMIPMT(((365/360)*E71)/Q71,O71-T71,F71,1+T71,T71+T71,0)*-1,),0),0)</f>
        <v>0</v>
      </c>
      <c r="AB71" s="449" t="str">
        <f>IF(M71&lt;&gt;0,IF(K71="no",IF(M71="annual",INDEX(Inputs!$C$4:$E$15,MATCH('Loan Entry'!J71,Months,0),3),IF(M71="semi-annual",IF(T71=2,CONCATENATE(INDEX(Inputs!$C$4:$E$15,MATCH('Loan Entry'!J71,Months,0),3),",",INDEX(Inputs!$C$4:$E$15,MATCH(MONTH(L71+190),Inputs!$D$4:$D$15,0),3)),INDEX(Inputs!$C$4:$E$15,MATCH('Loan Entry'!J71,Months,0),3)),IF(M71="Quarterly",IF(T71=4,CONCATENATE(INDEX(Inputs!$C$4:$E$15,MATCH('Loan Entry'!J71,Months,0),3),",",INDEX(Inputs!$C$4:$E$15,MATCH(MONTH(L71+95),Inputs!$D$4:$D$15,0),3),",",INDEX(Inputs!$C$4:$E$15,MATCH(MONTH(L71+190),Inputs!$D$4:$D$15,0),3),",",INDEX(Inputs!$C$4:$E$15,MATCH(MONTH(L71+275),Inputs!$D$4:$D$15,0),3)),IF(T71=3,CONCATENATE(INDEX(Inputs!$C$4:$E$15,MATCH('Loan Entry'!J71,Months,0),3),",",INDEX(Inputs!$C$4:$E$15,MATCH(MONTH(L71+95),Inputs!$D$4:$D$15,0),3),",",INDEX(Inputs!$C$4:$E$15,MATCH(MONTH(L71+190),Inputs!$D$4:$D$15,0),3)),IF(T71=2,CONCATENATE(INDEX(Inputs!$C$4:$E$15,MATCH('Loan Entry'!J71,Months,0),3),",",INDEX(Inputs!$C$4:$E$15,MATCH(MONTH(L71+95),Inputs!$D$4:$D$15,0),3)),INDEX(Inputs!$C$4:$E$15,MATCH('Loan Entry'!J71,Months,0),3)))),INDEX(Inputs!$C$4:$F$15,MATCH('Loan Entry'!J71,Months,0),4)))),IF(M71="annual",INDEX(Inputs!$C$4:$E$15,MATCH('Loan Entry'!J71,Months,0),3),IF(M71="semi-annual",IF(T71=2,CONCATENATE(INDEX(Inputs!$C$4:$E$15,MATCH('Loan Entry'!J71,Months,0),3),",",INDEX(Inputs!$C$4:$E$15,MATCH(MONTH(L71+190),Inputs!$D$4:$D$15,0),3)),INDEX(Inputs!$C$4:$E$15,MATCH('Loan Entry'!J71,Months,0),3)),IF(M71="Quarterly",IF(T71=4,CONCATENATE(INDEX(Inputs!$C$4:$E$15,MATCH('Loan Entry'!J71,Months,0),3),",",INDEX(Inputs!$C$4:$E$15,MATCH(MONTH(L71+95),Inputs!$D$4:$D$15,0),3),",",INDEX(Inputs!$C$4:$E$15,MATCH(MONTH(L71+190),Inputs!$D$4:$D$15,0),3),",",INDEX(Inputs!$C$4:$E$15,MATCH(MONTH(L71+275),Inputs!$D$4:$D$15,0),3)),IF(T71=3,CONCATENATE(INDEX(Inputs!$C$4:$E$15,MATCH('Loan Entry'!J71,Months,0),3),",",INDEX(Inputs!$C$4:$E$15,MATCH(MONTH(L71+95),Inputs!$D$4:$D$15,0),3),",",INDEX(Inputs!$C$4:$E$15,MATCH(MONTH(L71+190),Inputs!$D$4:$D$15,0),3)),IF(T71=2,CONCATENATE(INDEX(Inputs!$C$4:$E$15,MATCH('Loan Entry'!J71,Months,0),3),",",INDEX(Inputs!$C$4:$E$15,MATCH(MONTH(L71+95),Inputs!$D$4:$D$15,0),3)),INDEX(Inputs!$C$4:$G$15,MATCH('Loan Entry'!J71,Months,0),3)))),INDEX(Inputs!$C$4:$G$15,MATCH('Loan Entry'!N71,Months,0),5))))),"")</f>
        <v/>
      </c>
      <c r="AC71" s="923" t="str">
        <f>IF('Loan Entry'!$M71&gt;0,PMT((365/360)*'Loan Entry'!$E71/'Loan Entry'!$Q71,'Loan Entry'!$O71,'Loan Entry'!$F71*-1)*MIN('Loan Entry'!$Q71,O71),"")</f>
        <v/>
      </c>
      <c r="AD71" s="924" t="str">
        <f>IF(F71&gt;0,IF('Loan Entry'!$M71&lt;&gt;0,IF(U71=1,X71,IF(E71=0,U71*X71,X71)),'Loan Entry'!$AC71),"")</f>
        <v/>
      </c>
      <c r="AE71" s="929" t="str">
        <f>IF('Loan Entry'!$M71&gt;0,'Loan Entry'!$F71-'Loan Entry'!$AD71,"")</f>
        <v/>
      </c>
      <c r="AF71" s="651" t="str">
        <f>IF(AE71&gt;0,AC71,0)</f>
        <v/>
      </c>
      <c r="AG71" s="651"/>
      <c r="AH71" s="667" t="str">
        <f>IF(AE71&lt;&gt;0,IF(AE71&lt;AD71,AE71,IF(E71&gt;0,IF('Loan Entry'!$M71&lt;&gt;0,CUMPRINC(E71/Q71,(O71-T71),AE71,1,T71,0)*-1,),'Loan Entry'!$AC71)),0)</f>
        <v/>
      </c>
      <c r="AI71" s="667">
        <f>IF(M71&gt;0,AE71-AH71,0)</f>
        <v>0</v>
      </c>
    </row>
    <row r="72" spans="1:35" ht="24.95" customHeight="1" x14ac:dyDescent="0.2">
      <c r="A72" s="458" t="str">
        <f>IF('Loan Entry'!$M72&gt;0,DATE((G72+1),1,1),"")</f>
        <v/>
      </c>
      <c r="B72" s="337"/>
      <c r="C72" s="338"/>
      <c r="D72" s="589"/>
      <c r="E72" s="939"/>
      <c r="F72" s="339"/>
      <c r="G72" s="340"/>
      <c r="H72" s="450" t="str">
        <f>IF(I72&gt;0,ROUNDDOWN(Year+I72,0),"")</f>
        <v/>
      </c>
      <c r="I72" s="340"/>
      <c r="J72" s="340"/>
      <c r="K72" s="450" t="e">
        <f>IF(H72&gt;0,IF(H72-Year=0,"yes","no"),"")</f>
        <v>#VALUE!</v>
      </c>
      <c r="L72" s="450" t="str">
        <f>IF('Loan Entry'!$J72&gt;0,DATE(G72,INDEX(Inputs!$C$4:$D$15,MATCH(J72,Months,0),2),1),"")</f>
        <v/>
      </c>
      <c r="M72" s="340"/>
      <c r="N72" s="450" t="str">
        <f>IF(M72&lt;&gt;0,IF(AND(K72="yes",M72="Monthly")=TRUE,CHOOSE(R72,"January","February","March","April","May","June","July","August","September","October","November","December"),RIGHT(AB72,3)),"")</f>
        <v/>
      </c>
      <c r="O72" s="581" t="str">
        <f>IF('Loan Entry'!$M72&gt;0,'Loan Entry'!$I72*'Loan Entry'!$Q72,"")</f>
        <v/>
      </c>
      <c r="P72" s="581" t="str">
        <f>IF(M72&gt;0,(H72-(G72-1))*IF(M72="Monthly",12,IF(M72="Quarterly",4,IF(M72="Semi-Annual",2,1))),"")</f>
        <v/>
      </c>
      <c r="Q72" s="581" t="str">
        <f>IF(M72&gt;0,IF(M72="Monthly",12,IF(M72="Quarterly",4,IF(M72="Semi-Annual",2,1))),"")</f>
        <v/>
      </c>
      <c r="R72" s="581" t="str">
        <f>IF(M72&gt;0,IF(I72&lt;1,IF(M72="Annual",1,(YEARFRAC(L72,A72,))*IF(M72="Monthly",O72,IF(M72="quarterly",O72*3,IF(M72="semi-annual",O72*2,12)))),IF(M72="Annual",1,(YEARFRAC(L72,A72,))*12)),"")</f>
        <v/>
      </c>
      <c r="S72" s="581">
        <f>IF(M72&gt;0,INDEX(Inputs!$J$26:$K$37,MATCH('Loan Entry'!N72,Inputs!$J$26:$J$37,0),2)/12,0)</f>
        <v>0</v>
      </c>
      <c r="T72" s="581" t="str">
        <f>IF(M72&lt;&gt;0,IF(R72&gt;12,12,ROUNDUP(IF(M72="Monthly",12*(R72/Q72),IF(M72="Quarterly",((R72/12)*Q72),IF(M72="Semi-Annual",IF(((R72/12)*Q72)&gt;1,2,1),1))),0)),"")</f>
        <v/>
      </c>
      <c r="U72" s="581" t="str">
        <f>IF(M72&gt;0,T72/Q72,"")</f>
        <v/>
      </c>
      <c r="V72" s="581" t="str">
        <f>IF('Loan Entry'!$M72&gt;0,IF(U72=1,X72/T72,(X72/T72)),"")</f>
        <v/>
      </c>
      <c r="W72" s="581" t="str">
        <f>IF('Loan Entry'!$M72&gt;0,IF(U72=1,Y72/T72,U72*(Y72/T72)),"")</f>
        <v/>
      </c>
      <c r="X72" s="581" t="str">
        <f>IF(E72&gt;0,IF('Loan Entry'!$M72&lt;&gt;0,CUMPRINC((365/360)*E72/Q72,O72,F72,1,T72,0)*-1,),'Loan Entry'!$AC72)</f>
        <v/>
      </c>
      <c r="Y72" s="581">
        <f>IF(E72&gt;0,IF('Loan Entry'!$M72&lt;&gt;0,CUMIPMT(((365/360)*E72)/Q72,O72,F72,1,T72,0)*-1,),0)</f>
        <v>0</v>
      </c>
      <c r="Z72" s="581">
        <f>IF(ISERROR(S72*IF(E72&gt;0,IF('Loan Entry'!$M72&lt;&gt;0,CUMIPMT(((365/360)*E72)/Q72,O72,F72,1,T72,0)*-1,),0))=FALSE,S72*IF(E72&gt;0,IF('Loan Entry'!$M72&lt;&gt;0,CUMIPMT(((365/360)*E72)/Q72,O72,F72,1,T72,0)*-1,),0),0)</f>
        <v>0</v>
      </c>
      <c r="AA72" s="581">
        <f>IF(ISERROR(S72*IF(E72&gt;0,IF('Loan Entry'!$M72&lt;&gt;0,CUMIPMT(((365/360)*E72)/Q72,O72-T72,F72,1+T72,T72+T72,0)*-1,),0))=FALSE,S72*IF(E72&gt;0,IF('Loan Entry'!$M72&lt;&gt;0,CUMIPMT(((365/360)*E72)/Q72,O72-T72,F72,1+T72,T72+T72,0)*-1,),0),0)</f>
        <v>0</v>
      </c>
      <c r="AB72" s="581" t="str">
        <f>IF(M72&lt;&gt;0,IF(K72="no",IF(M72="annual",INDEX(Inputs!$C$4:$E$15,MATCH('Loan Entry'!J72,Months,0),3),IF(M72="semi-annual",IF(T72=2,CONCATENATE(INDEX(Inputs!$C$4:$E$15,MATCH('Loan Entry'!J72,Months,0),3),",",INDEX(Inputs!$C$4:$E$15,MATCH(MONTH(L72+190),Inputs!$D$4:$D$15,0),3)),INDEX(Inputs!$C$4:$E$15,MATCH('Loan Entry'!J72,Months,0),3)),IF(M72="Quarterly",IF(T72=4,CONCATENATE(INDEX(Inputs!$C$4:$E$15,MATCH('Loan Entry'!J72,Months,0),3),",",INDEX(Inputs!$C$4:$E$15,MATCH(MONTH(L72+95),Inputs!$D$4:$D$15,0),3),",",INDEX(Inputs!$C$4:$E$15,MATCH(MONTH(L72+190),Inputs!$D$4:$D$15,0),3),",",INDEX(Inputs!$C$4:$E$15,MATCH(MONTH(L72+275),Inputs!$D$4:$D$15,0),3)),IF(T72=3,CONCATENATE(INDEX(Inputs!$C$4:$E$15,MATCH('Loan Entry'!J72,Months,0),3),",",INDEX(Inputs!$C$4:$E$15,MATCH(MONTH(L72+95),Inputs!$D$4:$D$15,0),3),",",INDEX(Inputs!$C$4:$E$15,MATCH(MONTH(L72+190),Inputs!$D$4:$D$15,0),3)),IF(T72=2,CONCATENATE(INDEX(Inputs!$C$4:$E$15,MATCH('Loan Entry'!J72,Months,0),3),",",INDEX(Inputs!$C$4:$E$15,MATCH(MONTH(L72+95),Inputs!$D$4:$D$15,0),3)),INDEX(Inputs!$C$4:$E$15,MATCH('Loan Entry'!J72,Months,0),3)))),INDEX(Inputs!$C$4:$F$15,MATCH('Loan Entry'!J72,Months,0),4)))),IF(M72="annual",INDEX(Inputs!$C$4:$E$15,MATCH('Loan Entry'!J72,Months,0),3),IF(M72="semi-annual",IF(T72=2,CONCATENATE(INDEX(Inputs!$C$4:$E$15,MATCH('Loan Entry'!J72,Months,0),3),",",INDEX(Inputs!$C$4:$E$15,MATCH(MONTH(L72+190),Inputs!$D$4:$D$15,0),3)),INDEX(Inputs!$C$4:$E$15,MATCH('Loan Entry'!J72,Months,0),3)),IF(M72="Quarterly",IF(T72=4,CONCATENATE(INDEX(Inputs!$C$4:$E$15,MATCH('Loan Entry'!J72,Months,0),3),",",INDEX(Inputs!$C$4:$E$15,MATCH(MONTH(L72+95),Inputs!$D$4:$D$15,0),3),",",INDEX(Inputs!$C$4:$E$15,MATCH(MONTH(L72+190),Inputs!$D$4:$D$15,0),3),",",INDEX(Inputs!$C$4:$E$15,MATCH(MONTH(L72+275),Inputs!$D$4:$D$15,0),3)),IF(T72=3,CONCATENATE(INDEX(Inputs!$C$4:$E$15,MATCH('Loan Entry'!J72,Months,0),3),",",INDEX(Inputs!$C$4:$E$15,MATCH(MONTH(L72+95),Inputs!$D$4:$D$15,0),3),",",INDEX(Inputs!$C$4:$E$15,MATCH(MONTH(L72+190),Inputs!$D$4:$D$15,0),3)),IF(T72=2,CONCATENATE(INDEX(Inputs!$C$4:$E$15,MATCH('Loan Entry'!J72,Months,0),3),",",INDEX(Inputs!$C$4:$E$15,MATCH(MONTH(L72+95),Inputs!$D$4:$D$15,0),3)),INDEX(Inputs!$C$4:$G$15,MATCH('Loan Entry'!J72,Months,0),3)))),INDEX(Inputs!$C$4:$G$15,MATCH('Loan Entry'!N72,Months,0),5))))),"")</f>
        <v/>
      </c>
      <c r="AC72" s="925" t="str">
        <f>IF('Loan Entry'!$M72&gt;0,PMT((365/360)*'Loan Entry'!$E72/'Loan Entry'!$Q72,'Loan Entry'!$O72,'Loan Entry'!$F72*-1)*MIN('Loan Entry'!$Q72,O72),"")</f>
        <v/>
      </c>
      <c r="AD72" s="926" t="str">
        <f>IF(F72&gt;0,IF('Loan Entry'!$M72&lt;&gt;0,IF(U72=1,X72,IF(E72=0,U72*X72,X72)),'Loan Entry'!$AC72),"")</f>
        <v/>
      </c>
      <c r="AE72" s="930" t="str">
        <f>IF('Loan Entry'!$M72&gt;0,'Loan Entry'!$F72-'Loan Entry'!$AD72,"")</f>
        <v/>
      </c>
      <c r="AF72" s="651" t="str">
        <f>IF(AE72&gt;0,AC72,0)</f>
        <v/>
      </c>
      <c r="AG72" s="651"/>
      <c r="AH72" s="667" t="str">
        <f>IF(AE72&lt;&gt;0,IF(AE72&lt;AD72,AE72,IF(E72&gt;0,IF('Loan Entry'!$M72&lt;&gt;0,CUMPRINC(E72/Q72,(O72-T72),AE72,1,T72,0)*-1,),'Loan Entry'!$AC72)),0)</f>
        <v/>
      </c>
      <c r="AI72" s="667">
        <f>IF(M72&gt;0,AE72-AH72,0)</f>
        <v>0</v>
      </c>
    </row>
    <row r="73" spans="1:35" ht="24.95" customHeight="1" x14ac:dyDescent="0.2">
      <c r="A73" s="458" t="str">
        <f>IF('Loan Entry'!$M73&gt;0,DATE((G73+1),1,1),"")</f>
        <v/>
      </c>
      <c r="B73" s="341"/>
      <c r="C73" s="342"/>
      <c r="D73" s="590"/>
      <c r="E73" s="940"/>
      <c r="F73" s="343"/>
      <c r="G73" s="344"/>
      <c r="H73" s="451" t="str">
        <f>IF(I73&gt;0,ROUNDDOWN(Year+I73,0),"")</f>
        <v/>
      </c>
      <c r="I73" s="344"/>
      <c r="J73" s="344"/>
      <c r="K73" s="451" t="e">
        <f>IF(H73&gt;0,IF(H73-Year=0,"yes","no"),"")</f>
        <v>#VALUE!</v>
      </c>
      <c r="L73" s="451" t="str">
        <f>IF('Loan Entry'!$J73&gt;0,DATE(G73,INDEX(Inputs!$C$4:$D$15,MATCH(J73,Months,0),2),1),"")</f>
        <v/>
      </c>
      <c r="M73" s="344"/>
      <c r="N73" s="451" t="str">
        <f>IF(M73&lt;&gt;0,IF(AND(K73="yes",M73="Monthly")=TRUE,CHOOSE(R73,"January","February","March","April","May","June","July","August","September","October","November","December"),RIGHT(AB73,3)),"")</f>
        <v/>
      </c>
      <c r="O73" s="583" t="str">
        <f>IF('Loan Entry'!$M73&gt;0,'Loan Entry'!$I73*'Loan Entry'!$Q73,"")</f>
        <v/>
      </c>
      <c r="P73" s="583" t="str">
        <f>IF(M73&gt;0,(H73-(G73-1))*IF(M73="Monthly",12,IF(M73="Quarterly",4,IF(M73="Semi-Annual",2,1))),"")</f>
        <v/>
      </c>
      <c r="Q73" s="583" t="str">
        <f>IF(M73&gt;0,IF(M73="Monthly",12,IF(M73="Quarterly",4,IF(M73="Semi-Annual",2,1))),"")</f>
        <v/>
      </c>
      <c r="R73" s="583" t="str">
        <f>IF(M73&gt;0,IF(I73&lt;1,IF(M73="Annual",1,(YEARFRAC(L73,A73,))*IF(M73="Monthly",O73,IF(M73="quarterly",O73*3,IF(M73="semi-annual",O73*2,12)))),IF(M73="Annual",1,(YEARFRAC(L73,A73,))*12)),"")</f>
        <v/>
      </c>
      <c r="S73" s="583">
        <f>IF(M73&gt;0,INDEX(Inputs!$J$26:$K$37,MATCH('Loan Entry'!N73,Inputs!$J$26:$J$37,0),2)/12,0)</f>
        <v>0</v>
      </c>
      <c r="T73" s="583" t="str">
        <f>IF(M73&lt;&gt;0,IF(R73&gt;12,12,ROUNDUP(IF(M73="Monthly",12*(R73/Q73),IF(M73="Quarterly",((R73/12)*Q73),IF(M73="Semi-Annual",IF(((R73/12)*Q73)&gt;1,2,1),1))),0)),"")</f>
        <v/>
      </c>
      <c r="U73" s="583" t="str">
        <f>IF(M73&gt;0,T73/Q73,"")</f>
        <v/>
      </c>
      <c r="V73" s="583" t="str">
        <f>IF('Loan Entry'!$M73&gt;0,IF(U73=1,X73/T73,(X73/T73)),"")</f>
        <v/>
      </c>
      <c r="W73" s="583" t="str">
        <f>IF('Loan Entry'!$M73&gt;0,IF(U73=1,Y73/T73,U73*(Y73/T73)),"")</f>
        <v/>
      </c>
      <c r="X73" s="583" t="str">
        <f>IF(E73&gt;0,IF('Loan Entry'!$M73&lt;&gt;0,CUMPRINC((365/360)*E73/Q73,O73,F73,1,T73,0)*-1,),'Loan Entry'!$AC73)</f>
        <v/>
      </c>
      <c r="Y73" s="583">
        <f>IF(E73&gt;0,IF('Loan Entry'!$M73&lt;&gt;0,CUMIPMT(((365/360)*E73)/Q73,O73,F73,1,T73,0)*-1,),0)</f>
        <v>0</v>
      </c>
      <c r="Z73" s="583">
        <f>IF(ISERROR(S73*IF(E73&gt;0,IF('Loan Entry'!$M73&lt;&gt;0,CUMIPMT(((365/360)*E73)/Q73,O73,F73,1,T73,0)*-1,),0))=FALSE,S73*IF(E73&gt;0,IF('Loan Entry'!$M73&lt;&gt;0,CUMIPMT(((365/360)*E73)/Q73,O73,F73,1,T73,0)*-1,),0),0)</f>
        <v>0</v>
      </c>
      <c r="AA73" s="583">
        <f>IF(ISERROR(S73*IF(E73&gt;0,IF('Loan Entry'!$M73&lt;&gt;0,CUMIPMT(((365/360)*E73)/Q73,O73-T73,F73,1+T73,T73+T73,0)*-1,),0))=FALSE,S73*IF(E73&gt;0,IF('Loan Entry'!$M73&lt;&gt;0,CUMIPMT(((365/360)*E73)/Q73,O73-T73,F73,1+T73,T73+T73,0)*-1,),0),0)</f>
        <v>0</v>
      </c>
      <c r="AB73" s="583" t="str">
        <f>IF(M73&lt;&gt;0,IF(K73="no",IF(M73="annual",INDEX(Inputs!$C$4:$E$15,MATCH('Loan Entry'!J73,Months,0),3),IF(M73="semi-annual",IF(T73=2,CONCATENATE(INDEX(Inputs!$C$4:$E$15,MATCH('Loan Entry'!J73,Months,0),3),",",INDEX(Inputs!$C$4:$E$15,MATCH(MONTH(L73+190),Inputs!$D$4:$D$15,0),3)),INDEX(Inputs!$C$4:$E$15,MATCH('Loan Entry'!J73,Months,0),3)),IF(M73="Quarterly",IF(T73=4,CONCATENATE(INDEX(Inputs!$C$4:$E$15,MATCH('Loan Entry'!J73,Months,0),3),",",INDEX(Inputs!$C$4:$E$15,MATCH(MONTH(L73+95),Inputs!$D$4:$D$15,0),3),",",INDEX(Inputs!$C$4:$E$15,MATCH(MONTH(L73+190),Inputs!$D$4:$D$15,0),3),",",INDEX(Inputs!$C$4:$E$15,MATCH(MONTH(L73+275),Inputs!$D$4:$D$15,0),3)),IF(T73=3,CONCATENATE(INDEX(Inputs!$C$4:$E$15,MATCH('Loan Entry'!J73,Months,0),3),",",INDEX(Inputs!$C$4:$E$15,MATCH(MONTH(L73+95),Inputs!$D$4:$D$15,0),3),",",INDEX(Inputs!$C$4:$E$15,MATCH(MONTH(L73+190),Inputs!$D$4:$D$15,0),3)),IF(T73=2,CONCATENATE(INDEX(Inputs!$C$4:$E$15,MATCH('Loan Entry'!J73,Months,0),3),",",INDEX(Inputs!$C$4:$E$15,MATCH(MONTH(L73+95),Inputs!$D$4:$D$15,0),3)),INDEX(Inputs!$C$4:$E$15,MATCH('Loan Entry'!J73,Months,0),3)))),INDEX(Inputs!$C$4:$F$15,MATCH('Loan Entry'!J73,Months,0),4)))),IF(M73="annual",INDEX(Inputs!$C$4:$E$15,MATCH('Loan Entry'!J73,Months,0),3),IF(M73="semi-annual",IF(T73=2,CONCATENATE(INDEX(Inputs!$C$4:$E$15,MATCH('Loan Entry'!J73,Months,0),3),",",INDEX(Inputs!$C$4:$E$15,MATCH(MONTH(L73+190),Inputs!$D$4:$D$15,0),3)),INDEX(Inputs!$C$4:$E$15,MATCH('Loan Entry'!J73,Months,0),3)),IF(M73="Quarterly",IF(T73=4,CONCATENATE(INDEX(Inputs!$C$4:$E$15,MATCH('Loan Entry'!J73,Months,0),3),",",INDEX(Inputs!$C$4:$E$15,MATCH(MONTH(L73+95),Inputs!$D$4:$D$15,0),3),",",INDEX(Inputs!$C$4:$E$15,MATCH(MONTH(L73+190),Inputs!$D$4:$D$15,0),3),",",INDEX(Inputs!$C$4:$E$15,MATCH(MONTH(L73+275),Inputs!$D$4:$D$15,0),3)),IF(T73=3,CONCATENATE(INDEX(Inputs!$C$4:$E$15,MATCH('Loan Entry'!J73,Months,0),3),",",INDEX(Inputs!$C$4:$E$15,MATCH(MONTH(L73+95),Inputs!$D$4:$D$15,0),3),",",INDEX(Inputs!$C$4:$E$15,MATCH(MONTH(L73+190),Inputs!$D$4:$D$15,0),3)),IF(T73=2,CONCATENATE(INDEX(Inputs!$C$4:$E$15,MATCH('Loan Entry'!J73,Months,0),3),",",INDEX(Inputs!$C$4:$E$15,MATCH(MONTH(L73+95),Inputs!$D$4:$D$15,0),3)),INDEX(Inputs!$C$4:$G$15,MATCH('Loan Entry'!J73,Months,0),3)))),INDEX(Inputs!$C$4:$G$15,MATCH('Loan Entry'!N73,Months,0),5))))),"")</f>
        <v/>
      </c>
      <c r="AC73" s="927" t="str">
        <f>IF('Loan Entry'!$M73&gt;0,PMT((365/360)*'Loan Entry'!$E73/'Loan Entry'!$Q73,'Loan Entry'!$O73,'Loan Entry'!$F73*-1)*MIN('Loan Entry'!$Q73,O73),"")</f>
        <v/>
      </c>
      <c r="AD73" s="928" t="str">
        <f>IF(F73&gt;0,IF('Loan Entry'!$M73&lt;&gt;0,IF(U73=1,X73,IF(E73=0,U73*X73,X73)),'Loan Entry'!$AC73),"")</f>
        <v/>
      </c>
      <c r="AE73" s="931" t="str">
        <f>IF('Loan Entry'!$M73&gt;0,'Loan Entry'!$F73-'Loan Entry'!$AD73,"")</f>
        <v/>
      </c>
      <c r="AF73" s="651" t="str">
        <f>IF(AE73&gt;0,AC73,0)</f>
        <v/>
      </c>
      <c r="AG73" s="651"/>
      <c r="AH73" s="667" t="str">
        <f>IF(AE73&lt;&gt;0,IF(AE73&lt;AD73,AE73,IF(E73&gt;0,IF('Loan Entry'!$M73&lt;&gt;0,CUMPRINC(E73/Q73,(O73-T73),AE73,1,T73,0)*-1,),'Loan Entry'!$AC73)),0)</f>
        <v/>
      </c>
      <c r="AI73" s="667">
        <f>IF(M73&gt;0,AE73-AH73,0)</f>
        <v>0</v>
      </c>
    </row>
    <row r="74" spans="1:35" ht="24.95" customHeight="1" x14ac:dyDescent="0.2">
      <c r="A74" s="458" t="str">
        <f>IF('Loan Entry'!$M74&gt;0,DATE((G74+1),1,1),"")</f>
        <v/>
      </c>
      <c r="B74" s="337"/>
      <c r="C74" s="338"/>
      <c r="D74" s="589"/>
      <c r="E74" s="939"/>
      <c r="F74" s="339"/>
      <c r="G74" s="340"/>
      <c r="H74" s="450" t="str">
        <f>IF(I74&gt;0,ROUNDDOWN(Year+I74,0),"")</f>
        <v/>
      </c>
      <c r="I74" s="340"/>
      <c r="J74" s="340"/>
      <c r="K74" s="450" t="e">
        <f>IF(H74&gt;0,IF(H74-Year=0,"yes","no"),"")</f>
        <v>#VALUE!</v>
      </c>
      <c r="L74" s="450" t="str">
        <f>IF('Loan Entry'!$J74&gt;0,DATE(G74,INDEX(Inputs!$C$4:$D$15,MATCH(J74,Months,0),2),1),"")</f>
        <v/>
      </c>
      <c r="M74" s="340"/>
      <c r="N74" s="450" t="str">
        <f>IF(M74&lt;&gt;0,IF(AND(K74="yes",M74="Monthly")=TRUE,CHOOSE(R74,"January","February","March","April","May","June","July","August","September","October","November","December"),RIGHT(AB74,3)),"")</f>
        <v/>
      </c>
      <c r="O74" s="581" t="str">
        <f>IF('Loan Entry'!$M74&gt;0,'Loan Entry'!$I74*'Loan Entry'!$Q74,"")</f>
        <v/>
      </c>
      <c r="P74" s="581" t="str">
        <f>IF(M74&gt;0,(H74-(G74-1))*IF(M74="Monthly",12,IF(M74="Quarterly",4,IF(M74="Semi-Annual",2,1))),"")</f>
        <v/>
      </c>
      <c r="Q74" s="581" t="str">
        <f>IF(M74&gt;0,IF(M74="Monthly",12,IF(M74="Quarterly",4,IF(M74="Semi-Annual",2,1))),"")</f>
        <v/>
      </c>
      <c r="R74" s="581" t="str">
        <f>IF(M74&gt;0,IF(I74&lt;1,IF(M74="Annual",1,(YEARFRAC(L74,A74,))*IF(M74="Monthly",O74,IF(M74="quarterly",O74*3,IF(M74="semi-annual",O74*2,12)))),IF(M74="Annual",1,(YEARFRAC(L74,A74,))*12)),"")</f>
        <v/>
      </c>
      <c r="S74" s="581">
        <f>IF(M74&gt;0,INDEX(Inputs!$J$26:$K$37,MATCH('Loan Entry'!N74,Inputs!$J$26:$J$37,0),2)/12,0)</f>
        <v>0</v>
      </c>
      <c r="T74" s="581" t="str">
        <f>IF(M74&lt;&gt;0,IF(R74&gt;12,12,ROUNDUP(IF(M74="Monthly",12*(R74/Q74),IF(M74="Quarterly",((R74/12)*Q74),IF(M74="Semi-Annual",IF(((R74/12)*Q74)&gt;1,2,1),1))),0)),"")</f>
        <v/>
      </c>
      <c r="U74" s="581" t="str">
        <f>IF(M74&gt;0,T74/Q74,"")</f>
        <v/>
      </c>
      <c r="V74" s="581" t="str">
        <f>IF('Loan Entry'!$M74&gt;0,IF(U74=1,X74/T74,(X74/T74)),"")</f>
        <v/>
      </c>
      <c r="W74" s="581" t="str">
        <f>IF('Loan Entry'!$M74&gt;0,IF(U74=1,Y74/T74,U74*(Y74/T74)),"")</f>
        <v/>
      </c>
      <c r="X74" s="581" t="str">
        <f>IF(E74&gt;0,IF('Loan Entry'!$M74&lt;&gt;0,CUMPRINC((365/360)*E74/Q74,O74,F74,1,T74,0)*-1,),'Loan Entry'!$AC74)</f>
        <v/>
      </c>
      <c r="Y74" s="581">
        <f>IF(E74&gt;0,IF('Loan Entry'!$M74&lt;&gt;0,CUMIPMT(((365/360)*E74)/Q74,O74,F74,1,T74,0)*-1,),0)</f>
        <v>0</v>
      </c>
      <c r="Z74" s="581">
        <f>IF(ISERROR(S74*IF(E74&gt;0,IF('Loan Entry'!$M74&lt;&gt;0,CUMIPMT(((365/360)*E74)/Q74,O74,F74,1,T74,0)*-1,),0))=FALSE,S74*IF(E74&gt;0,IF('Loan Entry'!$M74&lt;&gt;0,CUMIPMT(((365/360)*E74)/Q74,O74,F74,1,T74,0)*-1,),0),0)</f>
        <v>0</v>
      </c>
      <c r="AA74" s="581">
        <f>IF(ISERROR(S74*IF(E74&gt;0,IF('Loan Entry'!$M74&lt;&gt;0,CUMIPMT(((365/360)*E74)/Q74,O74-T74,F74,1+T74,T74+T74,0)*-1,),0))=FALSE,S74*IF(E74&gt;0,IF('Loan Entry'!$M74&lt;&gt;0,CUMIPMT(((365/360)*E74)/Q74,O74-T74,F74,1+T74,T74+T74,0)*-1,),0),0)</f>
        <v>0</v>
      </c>
      <c r="AB74" s="581" t="str">
        <f>IF(M74&lt;&gt;0,IF(K74="no",IF(M74="annual",INDEX(Inputs!$C$4:$E$15,MATCH('Loan Entry'!J74,Months,0),3),IF(M74="semi-annual",IF(T74=2,CONCATENATE(INDEX(Inputs!$C$4:$E$15,MATCH('Loan Entry'!J74,Months,0),3),",",INDEX(Inputs!$C$4:$E$15,MATCH(MONTH(L74+190),Inputs!$D$4:$D$15,0),3)),INDEX(Inputs!$C$4:$E$15,MATCH('Loan Entry'!J74,Months,0),3)),IF(M74="Quarterly",IF(T74=4,CONCATENATE(INDEX(Inputs!$C$4:$E$15,MATCH('Loan Entry'!J74,Months,0),3),",",INDEX(Inputs!$C$4:$E$15,MATCH(MONTH(L74+95),Inputs!$D$4:$D$15,0),3),",",INDEX(Inputs!$C$4:$E$15,MATCH(MONTH(L74+190),Inputs!$D$4:$D$15,0),3),",",INDEX(Inputs!$C$4:$E$15,MATCH(MONTH(L74+275),Inputs!$D$4:$D$15,0),3)),IF(T74=3,CONCATENATE(INDEX(Inputs!$C$4:$E$15,MATCH('Loan Entry'!J74,Months,0),3),",",INDEX(Inputs!$C$4:$E$15,MATCH(MONTH(L74+95),Inputs!$D$4:$D$15,0),3),",",INDEX(Inputs!$C$4:$E$15,MATCH(MONTH(L74+190),Inputs!$D$4:$D$15,0),3)),IF(T74=2,CONCATENATE(INDEX(Inputs!$C$4:$E$15,MATCH('Loan Entry'!J74,Months,0),3),",",INDEX(Inputs!$C$4:$E$15,MATCH(MONTH(L74+95),Inputs!$D$4:$D$15,0),3)),INDEX(Inputs!$C$4:$E$15,MATCH('Loan Entry'!J74,Months,0),3)))),INDEX(Inputs!$C$4:$F$15,MATCH('Loan Entry'!J74,Months,0),4)))),IF(M74="annual",INDEX(Inputs!$C$4:$E$15,MATCH('Loan Entry'!J74,Months,0),3),IF(M74="semi-annual",IF(T74=2,CONCATENATE(INDEX(Inputs!$C$4:$E$15,MATCH('Loan Entry'!J74,Months,0),3),",",INDEX(Inputs!$C$4:$E$15,MATCH(MONTH(L74+190),Inputs!$D$4:$D$15,0),3)),INDEX(Inputs!$C$4:$E$15,MATCH('Loan Entry'!J74,Months,0),3)),IF(M74="Quarterly",IF(T74=4,CONCATENATE(INDEX(Inputs!$C$4:$E$15,MATCH('Loan Entry'!J74,Months,0),3),",",INDEX(Inputs!$C$4:$E$15,MATCH(MONTH(L74+95),Inputs!$D$4:$D$15,0),3),",",INDEX(Inputs!$C$4:$E$15,MATCH(MONTH(L74+190),Inputs!$D$4:$D$15,0),3),",",INDEX(Inputs!$C$4:$E$15,MATCH(MONTH(L74+275),Inputs!$D$4:$D$15,0),3)),IF(T74=3,CONCATENATE(INDEX(Inputs!$C$4:$E$15,MATCH('Loan Entry'!J74,Months,0),3),",",INDEX(Inputs!$C$4:$E$15,MATCH(MONTH(L74+95),Inputs!$D$4:$D$15,0),3),",",INDEX(Inputs!$C$4:$E$15,MATCH(MONTH(L74+190),Inputs!$D$4:$D$15,0),3)),IF(T74=2,CONCATENATE(INDEX(Inputs!$C$4:$E$15,MATCH('Loan Entry'!J74,Months,0),3),",",INDEX(Inputs!$C$4:$E$15,MATCH(MONTH(L74+95),Inputs!$D$4:$D$15,0),3)),INDEX(Inputs!$C$4:$G$15,MATCH('Loan Entry'!J74,Months,0),3)))),INDEX(Inputs!$C$4:$G$15,MATCH('Loan Entry'!N74,Months,0),5))))),"")</f>
        <v/>
      </c>
      <c r="AC74" s="925" t="str">
        <f>IF('Loan Entry'!$M74&gt;0,PMT((365/360)*'Loan Entry'!$E74/'Loan Entry'!$Q74,'Loan Entry'!$O74,'Loan Entry'!$F74*-1)*MIN('Loan Entry'!$Q74,O74),"")</f>
        <v/>
      </c>
      <c r="AD74" s="926" t="str">
        <f>IF(F74&gt;0,IF('Loan Entry'!$M74&lt;&gt;0,IF(U74=1,X74,IF(E74=0,U74*X74,X74)),'Loan Entry'!$AC74),"")</f>
        <v/>
      </c>
      <c r="AE74" s="930" t="str">
        <f>IF('Loan Entry'!$M74&gt;0,'Loan Entry'!$F74-'Loan Entry'!$AD74,"")</f>
        <v/>
      </c>
      <c r="AF74" s="651" t="str">
        <f>IF(AE74&gt;0,AC74,0)</f>
        <v/>
      </c>
      <c r="AG74" s="651"/>
      <c r="AH74" s="667" t="str">
        <f>IF(AE74&lt;&gt;0,IF(AE74&lt;AD74,AE74,IF(E74&gt;0,IF('Loan Entry'!$M74&lt;&gt;0,CUMPRINC(E74/Q74,(O74-T74),AE74,1,T74,0)*-1,),'Loan Entry'!$AC74)),0)</f>
        <v/>
      </c>
      <c r="AI74" s="667">
        <f>IF(M74&gt;0,AE74-AH74,0)</f>
        <v>0</v>
      </c>
    </row>
    <row r="75" spans="1:35" ht="24.95" customHeight="1" x14ac:dyDescent="0.2">
      <c r="B75" s="952" t="str">
        <f>CONCATENATE("Sub-Total ",B69)</f>
        <v>Sub-Total Mortgage/Personal Real Estate Loans</v>
      </c>
      <c r="C75" s="952"/>
      <c r="D75" s="952"/>
      <c r="E75" s="952"/>
      <c r="F75" s="952"/>
      <c r="G75" s="952"/>
      <c r="H75" s="952"/>
      <c r="I75" s="952"/>
      <c r="J75" s="952"/>
      <c r="K75" s="952"/>
      <c r="L75" s="952"/>
      <c r="M75" s="952"/>
      <c r="N75" s="952"/>
      <c r="O75" s="952"/>
      <c r="P75" s="952"/>
      <c r="Q75" s="952"/>
      <c r="R75" s="952"/>
      <c r="S75" s="952"/>
      <c r="T75" s="952"/>
      <c r="U75" s="952"/>
      <c r="V75" s="952"/>
      <c r="W75" s="952"/>
      <c r="X75" s="952"/>
      <c r="Y75" s="952"/>
      <c r="Z75" s="952"/>
      <c r="AA75" s="952"/>
      <c r="AB75" s="952"/>
      <c r="AC75" s="952"/>
      <c r="AD75" s="279">
        <f>SUM('Loan Entry'!$AD$71:$AD$74)</f>
        <v>0</v>
      </c>
      <c r="AE75" s="279">
        <f>SUM('Loan Entry'!$AE$71:$AE$74)</f>
        <v>0</v>
      </c>
      <c r="AH75" s="667">
        <f>SUM(AH71:AH74)</f>
        <v>0</v>
      </c>
      <c r="AI75" s="667">
        <f>SUM(AI71:AI74)</f>
        <v>0</v>
      </c>
    </row>
    <row r="76" spans="1:35" ht="24.95" customHeight="1" x14ac:dyDescent="0.2">
      <c r="Z76" s="651">
        <f>SUM(Z63:Z66,Z71:Z74)</f>
        <v>0</v>
      </c>
      <c r="AA76" s="651">
        <f>SUM(AA63:AA66,AA71:AA74)</f>
        <v>0</v>
      </c>
    </row>
  </sheetData>
  <sheetProtection algorithmName="SHA-512" hashValue="/jWUFbdXGyvFpB9xTb1Sr/GFc+v0u8WU645ta2sbrbyNSg1k/bciH/HhnqNJZn2zG+Ki7kHWJBg7DbZjxinM7w==" saltValue="sATn8DvNnuBXRAhILZdh4w==" spinCount="100000" sheet="1" deleteRows="0"/>
  <mergeCells count="20">
    <mergeCell ref="B11:E11"/>
    <mergeCell ref="AC1:AC2"/>
    <mergeCell ref="AD1:AD2"/>
    <mergeCell ref="B3:F3"/>
    <mergeCell ref="B67:AC67"/>
    <mergeCell ref="B75:AC75"/>
    <mergeCell ref="B69:AE69"/>
    <mergeCell ref="B13:AE13"/>
    <mergeCell ref="B21:AE21"/>
    <mergeCell ref="B29:AE29"/>
    <mergeCell ref="B53:AE53"/>
    <mergeCell ref="B61:AE61"/>
    <mergeCell ref="B35:AC35"/>
    <mergeCell ref="B27:AC27"/>
    <mergeCell ref="B59:AC59"/>
    <mergeCell ref="B19:AC19"/>
    <mergeCell ref="B45:AE45"/>
    <mergeCell ref="B51:AC51"/>
    <mergeCell ref="B37:AE37"/>
    <mergeCell ref="B43:AC43"/>
  </mergeCells>
  <dataValidations count="9">
    <dataValidation type="list" allowBlank="1" showInputMessage="1" showErrorMessage="1" error="Please choose how often a payment is made" sqref="M71:N74 M23:N26 M31:N34 M55:N58 M63:N66 M5:N10 M15:M18 N16:N18 M47:N50 M39:N42">
      <formula1>LoanFreq</formula1>
    </dataValidation>
    <dataValidation type="list" allowBlank="1" showInputMessage="1" showErrorMessage="1" sqref="J5:K10 J15:J18 J31:J34 J55:J58 J63:J66 J71:J74 J23:J26 J47:J50 J39:J42">
      <formula1>Months</formula1>
    </dataValidation>
    <dataValidation type="list" allowBlank="1" showInputMessage="1" showErrorMessage="1" sqref="L6:L10">
      <formula1>"Yes,No"</formula1>
    </dataValidation>
    <dataValidation allowBlank="1" showInputMessage="1" showErrorMessage="1" error="Please choose how often a payment is made" sqref="N15"/>
    <dataValidation type="list" allowBlank="1" showInputMessage="1" showErrorMessage="1" errorTitle="Please enter description" error="Please enter a description for this loan." sqref="D71:D74">
      <formula1>"Personal-RE"</formula1>
    </dataValidation>
    <dataValidation type="list" allowBlank="1" showInputMessage="1" showErrorMessage="1" errorTitle="Please enter description" error="Please enter a description for this loan." sqref="D63:D66">
      <formula1>"Personal"</formula1>
    </dataValidation>
    <dataValidation allowBlank="1" showInputMessage="1" showErrorMessage="1" prompt="Since this is a loan that has an original term of 1 year, this value will be 1." sqref="I5:I10"/>
    <dataValidation type="list" allowBlank="1" showInputMessage="1" showErrorMessage="1" sqref="D15:D18 D5:D10 D23:D26 D31:D34 D39:D42 D47:D50 D55:D58">
      <formula1>"Ag Business,Direct Mkt"</formula1>
    </dataValidation>
    <dataValidation allowBlank="1" showInputMessage="1" showErrorMessage="1" prompt="Be sure to select the loan purpose. This will be the year that you enter in the Gen Info page." sqref="G5:G10"/>
  </dataValidations>
  <pageMargins left="0.7" right="0.7" top="0.75" bottom="0.75" header="0.3" footer="0.3"/>
  <pageSetup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8CC052"/>
  </sheetPr>
  <dimension ref="A1:K62"/>
  <sheetViews>
    <sheetView showGridLines="0" workbookViewId="0">
      <selection activeCell="D3" sqref="D3:E3"/>
    </sheetView>
  </sheetViews>
  <sheetFormatPr defaultColWidth="9.140625" defaultRowHeight="12.75" x14ac:dyDescent="0.2"/>
  <cols>
    <col min="1" max="1" width="9.140625" style="97"/>
    <col min="2" max="2" width="32.42578125" style="97" bestFit="1" customWidth="1"/>
    <col min="3" max="3" width="12.85546875" style="97" bestFit="1" customWidth="1"/>
    <col min="4" max="4" width="12.7109375" style="97" customWidth="1"/>
    <col min="5" max="5" width="10.42578125" style="97" customWidth="1"/>
    <col min="6" max="6" width="11.28515625" style="97" customWidth="1"/>
    <col min="7" max="7" width="15.42578125" style="97" bestFit="1" customWidth="1"/>
    <col min="8" max="10" width="9.140625" style="97"/>
    <col min="11" max="11" width="5.7109375" style="97" customWidth="1"/>
    <col min="12" max="16384" width="9.140625" style="97"/>
  </cols>
  <sheetData>
    <row r="1" spans="1:7" ht="6.6" customHeight="1" x14ac:dyDescent="0.2">
      <c r="B1" s="1024" t="s">
        <v>85</v>
      </c>
      <c r="C1" s="1024"/>
    </row>
    <row r="2" spans="1:7" ht="15" x14ac:dyDescent="0.25">
      <c r="B2" s="1024"/>
      <c r="C2" s="1024"/>
      <c r="D2" s="155"/>
      <c r="E2" s="155"/>
      <c r="F2" s="155"/>
      <c r="G2" s="155"/>
    </row>
    <row r="3" spans="1:7" ht="14.25" x14ac:dyDescent="0.2">
      <c r="B3" s="1024"/>
      <c r="C3" s="1024"/>
      <c r="D3" s="976" t="s">
        <v>555</v>
      </c>
      <c r="E3" s="976"/>
      <c r="F3" s="975">
        <f>GenInfoBSDate</f>
        <v>42735</v>
      </c>
      <c r="G3" s="975"/>
    </row>
    <row r="4" spans="1:7" ht="13.5" thickBot="1" x14ac:dyDescent="0.25">
      <c r="B4" s="1024"/>
      <c r="C4" s="1024"/>
      <c r="D4" s="1022" t="s">
        <v>86</v>
      </c>
      <c r="E4" s="1022"/>
      <c r="F4" s="1023">
        <f ca="1">GenDate</f>
        <v>42856</v>
      </c>
      <c r="G4" s="1023"/>
    </row>
    <row r="5" spans="1:7" ht="15.75" x14ac:dyDescent="0.25">
      <c r="B5" s="1026" t="s">
        <v>252</v>
      </c>
      <c r="C5" s="1027"/>
      <c r="D5" s="1027" t="s">
        <v>253</v>
      </c>
      <c r="E5" s="1027"/>
      <c r="F5" s="1027"/>
      <c r="G5" s="1028"/>
    </row>
    <row r="6" spans="1:7" ht="15" customHeight="1" x14ac:dyDescent="0.2">
      <c r="B6" s="1029" t="s">
        <v>162</v>
      </c>
      <c r="C6" s="1031" t="s">
        <v>75</v>
      </c>
      <c r="D6" s="961" t="s">
        <v>163</v>
      </c>
      <c r="E6" s="962"/>
      <c r="F6" s="962"/>
      <c r="G6" s="1033" t="s">
        <v>77</v>
      </c>
    </row>
    <row r="7" spans="1:7" ht="6" customHeight="1" x14ac:dyDescent="0.2">
      <c r="B7" s="1030"/>
      <c r="C7" s="974"/>
      <c r="D7" s="963"/>
      <c r="E7" s="964"/>
      <c r="F7" s="964"/>
      <c r="G7" s="1032"/>
    </row>
    <row r="8" spans="1:7" x14ac:dyDescent="0.2">
      <c r="B8" s="120" t="str">
        <f>LEFT('Asset Entry'!A7,4)</f>
        <v>Cash</v>
      </c>
      <c r="C8" s="98">
        <f>CACashTot</f>
        <v>0</v>
      </c>
      <c r="D8" s="99" t="s">
        <v>211</v>
      </c>
      <c r="E8" s="100"/>
      <c r="F8" s="100"/>
      <c r="G8" s="121">
        <f>LoanCurrent</f>
        <v>0</v>
      </c>
    </row>
    <row r="9" spans="1:7" x14ac:dyDescent="0.2">
      <c r="B9" s="120" t="str">
        <f>'Asset Entry'!A35</f>
        <v>Pre-paid Expenses</v>
      </c>
      <c r="C9" s="101">
        <f>CAPrepaidTot</f>
        <v>0</v>
      </c>
      <c r="D9" s="99" t="s">
        <v>32</v>
      </c>
      <c r="E9" s="100"/>
      <c r="F9" s="100"/>
      <c r="G9" s="122">
        <f>CurPortLT</f>
        <v>0</v>
      </c>
    </row>
    <row r="10" spans="1:7" x14ac:dyDescent="0.2">
      <c r="A10" s="100"/>
      <c r="B10" s="593" t="str">
        <f>Inventory!A7</f>
        <v>Crop Inventory</v>
      </c>
      <c r="C10" s="101">
        <f>InvCropsEntry</f>
        <v>0</v>
      </c>
      <c r="D10" s="731" t="str">
        <f>'Liability Entry'!A14</f>
        <v>Business Credit Card Debt</v>
      </c>
      <c r="E10" s="100"/>
      <c r="F10" s="100"/>
      <c r="G10" s="122">
        <f>CLBizCCTot</f>
        <v>0</v>
      </c>
    </row>
    <row r="11" spans="1:7" x14ac:dyDescent="0.2">
      <c r="A11" s="100"/>
      <c r="B11" s="593" t="str">
        <f>Inventory!A18</f>
        <v>Livestock Held for Sale</v>
      </c>
      <c r="C11" s="101">
        <f>InvLivestockEntry</f>
        <v>0</v>
      </c>
      <c r="D11" s="731" t="str">
        <f>'Liability Entry'!A28</f>
        <v>Taxes &amp; Assessments Payable</v>
      </c>
      <c r="E11" s="100"/>
      <c r="F11" s="100"/>
      <c r="G11" s="122">
        <f>CLTaxesTot</f>
        <v>0</v>
      </c>
    </row>
    <row r="12" spans="1:7" x14ac:dyDescent="0.2">
      <c r="A12" s="100"/>
      <c r="B12" s="597" t="str">
        <f>LEFT(Inventory!A29,15)</f>
        <v>Other Inventory</v>
      </c>
      <c r="C12" s="101">
        <f>InvOtherEntry</f>
        <v>0</v>
      </c>
      <c r="D12" s="731" t="str">
        <f>'Liability Entry'!A21</f>
        <v>Accrued Interest</v>
      </c>
      <c r="E12" s="100"/>
      <c r="F12" s="100"/>
      <c r="G12" s="122">
        <f>CLBizAcrIntTot</f>
        <v>0</v>
      </c>
    </row>
    <row r="13" spans="1:7" x14ac:dyDescent="0.2">
      <c r="A13" s="100"/>
      <c r="B13" s="593" t="str">
        <f>'Asset Entry'!A14</f>
        <v>Due from Processors</v>
      </c>
      <c r="C13" s="101">
        <f>CADueProcTot</f>
        <v>0</v>
      </c>
      <c r="D13" s="731" t="str">
        <f>LEFT('Liability Entry'!A7,16)</f>
        <v>Accounts Payable</v>
      </c>
      <c r="E13" s="100"/>
      <c r="F13" s="100"/>
      <c r="G13" s="122">
        <f>CLAPTot</f>
        <v>0</v>
      </c>
    </row>
    <row r="14" spans="1:7" x14ac:dyDescent="0.2">
      <c r="B14" s="120" t="str">
        <f>'Asset Entry'!A21</f>
        <v>Other Business Accounts Receivables</v>
      </c>
      <c r="C14" s="101">
        <f>CAOthRecTot</f>
        <v>0</v>
      </c>
      <c r="G14" s="132"/>
    </row>
    <row r="15" spans="1:7" x14ac:dyDescent="0.2">
      <c r="B15" s="120" t="str">
        <f>'Asset Entry'!A28</f>
        <v>Business Loans Receivable</v>
      </c>
      <c r="C15" s="101">
        <f>CABusLoansRecTot</f>
        <v>0</v>
      </c>
      <c r="D15" s="99"/>
      <c r="E15" s="100"/>
      <c r="F15" s="100"/>
      <c r="G15" s="122"/>
    </row>
    <row r="16" spans="1:7" x14ac:dyDescent="0.2">
      <c r="B16" s="120" t="str">
        <f>'Asset Entry'!A42</f>
        <v>Other Current Assets</v>
      </c>
      <c r="C16" s="101">
        <f>CAOtherTot</f>
        <v>0</v>
      </c>
      <c r="D16" s="99" t="str">
        <f>'Liability Entry'!A35</f>
        <v>Other Current Liabilities</v>
      </c>
      <c r="E16" s="100"/>
      <c r="F16" s="100"/>
      <c r="G16" s="122">
        <f>CLOthCurTot</f>
        <v>0</v>
      </c>
    </row>
    <row r="17" spans="2:11" x14ac:dyDescent="0.2">
      <c r="B17" s="123" t="s">
        <v>164</v>
      </c>
      <c r="C17" s="102">
        <f>SUM(C8:C16)</f>
        <v>0</v>
      </c>
      <c r="D17" s="971" t="s">
        <v>165</v>
      </c>
      <c r="E17" s="972"/>
      <c r="F17" s="972"/>
      <c r="G17" s="124">
        <f>SUM(G8:G13)</f>
        <v>0</v>
      </c>
    </row>
    <row r="18" spans="2:11" ht="15" customHeight="1" x14ac:dyDescent="0.2">
      <c r="B18" s="973" t="s">
        <v>387</v>
      </c>
      <c r="C18" s="974" t="s">
        <v>76</v>
      </c>
      <c r="D18" s="963" t="s">
        <v>388</v>
      </c>
      <c r="E18" s="964"/>
      <c r="F18" s="964"/>
      <c r="G18" s="1032" t="s">
        <v>77</v>
      </c>
    </row>
    <row r="19" spans="2:11" ht="6" customHeight="1" x14ac:dyDescent="0.2">
      <c r="B19" s="973"/>
      <c r="C19" s="974"/>
      <c r="D19" s="963"/>
      <c r="E19" s="964"/>
      <c r="F19" s="964"/>
      <c r="G19" s="1032"/>
    </row>
    <row r="20" spans="2:11" x14ac:dyDescent="0.2">
      <c r="B20" s="125" t="str">
        <f>'Asset Entry'!D7</f>
        <v>Equipment</v>
      </c>
      <c r="C20" s="103">
        <f>NCEquipmentTot</f>
        <v>0</v>
      </c>
      <c r="D20" s="99" t="s">
        <v>261</v>
      </c>
      <c r="E20" s="100"/>
      <c r="F20" s="100"/>
      <c r="G20" s="121">
        <f>LoanEquipmentEntry</f>
        <v>0</v>
      </c>
    </row>
    <row r="21" spans="2:11" x14ac:dyDescent="0.2">
      <c r="B21" s="125" t="str">
        <f>'Asset Entry'!D14</f>
        <v>Breeding Livestock</v>
      </c>
      <c r="C21" s="101">
        <f>NCBreedLivestockTot</f>
        <v>0</v>
      </c>
      <c r="D21" s="99" t="s">
        <v>262</v>
      </c>
      <c r="E21" s="100"/>
      <c r="F21" s="100"/>
      <c r="G21" s="122">
        <f>LoanLivestockEntry</f>
        <v>0</v>
      </c>
    </row>
    <row r="22" spans="2:11" x14ac:dyDescent="0.2">
      <c r="B22" s="125" t="str">
        <f>'Asset Entry'!D21</f>
        <v>Business Vehicles</v>
      </c>
      <c r="C22" s="101">
        <f>NCBizVehTot</f>
        <v>0</v>
      </c>
      <c r="D22" s="99" t="s">
        <v>22</v>
      </c>
      <c r="E22" s="100"/>
      <c r="F22" s="100"/>
      <c r="G22" s="122">
        <f>LoanBVehEntry</f>
        <v>0</v>
      </c>
    </row>
    <row r="23" spans="2:11" x14ac:dyDescent="0.2">
      <c r="B23" s="123" t="s">
        <v>389</v>
      </c>
      <c r="C23" s="102">
        <f>SUM(C20:C22)</f>
        <v>0</v>
      </c>
      <c r="D23" s="971" t="s">
        <v>390</v>
      </c>
      <c r="E23" s="972"/>
      <c r="F23" s="972"/>
      <c r="G23" s="124">
        <f>SUM(G20:G22)</f>
        <v>0</v>
      </c>
      <c r="H23" s="100"/>
    </row>
    <row r="24" spans="2:11" ht="6" customHeight="1" x14ac:dyDescent="0.2">
      <c r="B24" s="973" t="s">
        <v>391</v>
      </c>
      <c r="C24" s="974" t="s">
        <v>76</v>
      </c>
      <c r="D24" s="963" t="s">
        <v>392</v>
      </c>
      <c r="E24" s="964"/>
      <c r="F24" s="964"/>
      <c r="G24" s="1032" t="s">
        <v>77</v>
      </c>
    </row>
    <row r="25" spans="2:11" ht="12.75" customHeight="1" x14ac:dyDescent="0.2">
      <c r="B25" s="973"/>
      <c r="C25" s="974"/>
      <c r="D25" s="963"/>
      <c r="E25" s="964"/>
      <c r="F25" s="964"/>
      <c r="G25" s="1032"/>
    </row>
    <row r="26" spans="2:11" ht="12.75" customHeight="1" x14ac:dyDescent="0.2">
      <c r="B26" s="125" t="str">
        <f>'Asset Entry'!D28</f>
        <v>Land</v>
      </c>
      <c r="C26" s="103">
        <f>NCLandTot</f>
        <v>0</v>
      </c>
      <c r="D26" s="99" t="s">
        <v>33</v>
      </c>
      <c r="E26" s="100"/>
      <c r="F26" s="100"/>
      <c r="G26" s="121">
        <f>LoanREEntry</f>
        <v>0</v>
      </c>
    </row>
    <row r="27" spans="2:11" x14ac:dyDescent="0.2">
      <c r="B27" s="125" t="str">
        <f>'Asset Entry'!D35</f>
        <v>Buildings &amp; Improvements</v>
      </c>
      <c r="C27" s="101">
        <f>NCBuildingsTot</f>
        <v>0</v>
      </c>
      <c r="D27" s="594" t="s">
        <v>264</v>
      </c>
      <c r="G27" s="122">
        <f>LoanBuildEntry</f>
        <v>0</v>
      </c>
    </row>
    <row r="28" spans="2:11" x14ac:dyDescent="0.2">
      <c r="B28" s="125" t="str">
        <f>'Asset Entry'!D42</f>
        <v>Oth Business Real Estate</v>
      </c>
      <c r="C28" s="101">
        <f>NCRETot</f>
        <v>0</v>
      </c>
      <c r="D28" s="99" t="s">
        <v>275</v>
      </c>
      <c r="E28" s="100"/>
      <c r="F28" s="100"/>
      <c r="G28" s="122">
        <f>LoanOthBizEntry</f>
        <v>0</v>
      </c>
    </row>
    <row r="29" spans="2:11" x14ac:dyDescent="0.2">
      <c r="B29" s="125" t="str">
        <f>'Asset Entry'!D49</f>
        <v>Other Non-Current Business Assets</v>
      </c>
      <c r="C29" s="101">
        <f>NCOthBizTot</f>
        <v>0</v>
      </c>
      <c r="D29" s="99" t="str">
        <f>'Liability Entry'!A42</f>
        <v>Other Non-Current Liabilities</v>
      </c>
      <c r="E29" s="100"/>
      <c r="F29" s="100"/>
      <c r="G29" s="122">
        <f>NCOthLiabTot</f>
        <v>0</v>
      </c>
    </row>
    <row r="30" spans="2:11" x14ac:dyDescent="0.2">
      <c r="B30" s="127" t="s">
        <v>393</v>
      </c>
      <c r="C30" s="105">
        <f>SUM(C26:C29)</f>
        <v>0</v>
      </c>
      <c r="D30" s="971" t="s">
        <v>166</v>
      </c>
      <c r="E30" s="972"/>
      <c r="F30" s="972"/>
      <c r="G30" s="124">
        <f>SUM(G26:G29)</f>
        <v>0</v>
      </c>
    </row>
    <row r="31" spans="2:11" ht="3" customHeight="1" x14ac:dyDescent="0.2">
      <c r="B31" s="986" t="s">
        <v>254</v>
      </c>
      <c r="C31" s="966"/>
      <c r="D31" s="965" t="s">
        <v>255</v>
      </c>
      <c r="E31" s="966"/>
      <c r="F31" s="966"/>
      <c r="G31" s="967"/>
      <c r="I31" s="983"/>
      <c r="J31" s="983"/>
      <c r="K31" s="983"/>
    </row>
    <row r="32" spans="2:11" ht="15" customHeight="1" x14ac:dyDescent="0.2">
      <c r="B32" s="987"/>
      <c r="C32" s="969"/>
      <c r="D32" s="968"/>
      <c r="E32" s="969"/>
      <c r="F32" s="969"/>
      <c r="G32" s="970"/>
      <c r="I32" s="983"/>
      <c r="J32" s="983"/>
      <c r="K32" s="983"/>
    </row>
    <row r="33" spans="1:11" x14ac:dyDescent="0.2">
      <c r="B33" s="120" t="s">
        <v>164</v>
      </c>
      <c r="C33" s="106">
        <f>C17</f>
        <v>0</v>
      </c>
      <c r="D33" s="977" t="s">
        <v>165</v>
      </c>
      <c r="E33" s="978"/>
      <c r="F33" s="978"/>
      <c r="G33" s="126">
        <f>G17</f>
        <v>0</v>
      </c>
      <c r="I33" s="983"/>
      <c r="J33" s="983"/>
      <c r="K33" s="983"/>
    </row>
    <row r="34" spans="1:11" x14ac:dyDescent="0.2">
      <c r="B34" s="604" t="s">
        <v>389</v>
      </c>
      <c r="C34" s="106">
        <f>C23</f>
        <v>0</v>
      </c>
      <c r="D34" s="977" t="s">
        <v>390</v>
      </c>
      <c r="E34" s="978"/>
      <c r="F34" s="978"/>
      <c r="G34" s="126">
        <f>G23</f>
        <v>0</v>
      </c>
      <c r="I34" s="983"/>
      <c r="J34" s="983"/>
      <c r="K34" s="983"/>
    </row>
    <row r="35" spans="1:11" ht="15" x14ac:dyDescent="0.35">
      <c r="B35" s="128" t="s">
        <v>393</v>
      </c>
      <c r="C35" s="107">
        <f>C30</f>
        <v>0</v>
      </c>
      <c r="D35" s="988" t="s">
        <v>394</v>
      </c>
      <c r="E35" s="989"/>
      <c r="F35" s="989"/>
      <c r="G35" s="129">
        <f>G30</f>
        <v>0</v>
      </c>
      <c r="I35" s="983"/>
      <c r="J35" s="983"/>
      <c r="K35" s="983"/>
    </row>
    <row r="36" spans="1:11" ht="15" x14ac:dyDescent="0.25">
      <c r="B36" s="130" t="s">
        <v>254</v>
      </c>
      <c r="C36" s="108">
        <f>SUM(C33:C35)</f>
        <v>0</v>
      </c>
      <c r="D36" s="984" t="s">
        <v>255</v>
      </c>
      <c r="E36" s="985"/>
      <c r="F36" s="985"/>
      <c r="G36" s="131">
        <f>SUM(G33:G35)</f>
        <v>0</v>
      </c>
      <c r="I36" s="983"/>
      <c r="J36" s="983"/>
      <c r="K36" s="983"/>
    </row>
    <row r="37" spans="1:11" ht="3" customHeight="1" x14ac:dyDescent="0.25">
      <c r="B37" s="959" t="s">
        <v>257</v>
      </c>
      <c r="C37" s="960"/>
      <c r="D37" s="109"/>
      <c r="E37" s="1000"/>
      <c r="F37" s="1000"/>
      <c r="G37" s="1001"/>
    </row>
    <row r="38" spans="1:11" x14ac:dyDescent="0.2">
      <c r="B38" s="1004" t="s">
        <v>254</v>
      </c>
      <c r="C38" s="1005"/>
      <c r="D38" s="958">
        <f>C36</f>
        <v>0</v>
      </c>
      <c r="E38" s="958"/>
      <c r="F38" s="110"/>
      <c r="G38" s="132"/>
    </row>
    <row r="39" spans="1:11" x14ac:dyDescent="0.2">
      <c r="B39" s="1002" t="s">
        <v>256</v>
      </c>
      <c r="C39" s="1003"/>
      <c r="D39" s="1006">
        <f>G36</f>
        <v>0</v>
      </c>
      <c r="E39" s="1006"/>
      <c r="F39" s="110"/>
      <c r="G39" s="132"/>
    </row>
    <row r="40" spans="1:11" ht="16.5" thickBot="1" x14ac:dyDescent="0.3">
      <c r="B40" s="998" t="s">
        <v>257</v>
      </c>
      <c r="C40" s="999"/>
      <c r="D40" s="997">
        <f>D38-D39</f>
        <v>0</v>
      </c>
      <c r="E40" s="997"/>
      <c r="F40" s="134"/>
      <c r="G40" s="135"/>
    </row>
    <row r="41" spans="1:11" ht="6" hidden="1" customHeight="1" x14ac:dyDescent="0.2">
      <c r="A41" s="132"/>
      <c r="B41" s="991" t="s">
        <v>258</v>
      </c>
      <c r="C41" s="992"/>
      <c r="D41" s="992"/>
      <c r="E41" s="992"/>
      <c r="F41" s="992"/>
      <c r="G41" s="993"/>
    </row>
    <row r="42" spans="1:11" ht="7.5" hidden="1" customHeight="1" x14ac:dyDescent="0.2">
      <c r="A42" s="132"/>
      <c r="B42" s="994"/>
      <c r="C42" s="995"/>
      <c r="D42" s="995"/>
      <c r="E42" s="995"/>
      <c r="F42" s="995"/>
      <c r="G42" s="996"/>
      <c r="H42" s="100"/>
    </row>
    <row r="43" spans="1:11" hidden="1" x14ac:dyDescent="0.2">
      <c r="A43" s="132"/>
      <c r="B43" s="154" t="s">
        <v>79</v>
      </c>
      <c r="C43" s="111">
        <f>IF(G17&gt;0,C17/G17,0)</f>
        <v>0</v>
      </c>
      <c r="D43" s="978" t="s">
        <v>81</v>
      </c>
      <c r="E43" s="978"/>
      <c r="F43" s="112">
        <f>IF(C36&lt;&gt;0,G36/C36,0)</f>
        <v>0</v>
      </c>
      <c r="G43" s="132"/>
      <c r="H43" s="158"/>
    </row>
    <row r="44" spans="1:11" ht="13.5" hidden="1" thickBot="1" x14ac:dyDescent="0.25">
      <c r="A44" s="132"/>
      <c r="B44" s="153" t="s">
        <v>80</v>
      </c>
      <c r="C44" s="159">
        <f>C33-G33</f>
        <v>0</v>
      </c>
      <c r="D44" s="990" t="s">
        <v>82</v>
      </c>
      <c r="E44" s="990"/>
      <c r="F44" s="133">
        <f>IF(D40&lt;&gt;0,D39/D40,0)</f>
        <v>0</v>
      </c>
      <c r="G44" s="135"/>
      <c r="H44" s="158"/>
    </row>
    <row r="45" spans="1:11" ht="6" customHeight="1" x14ac:dyDescent="0.2">
      <c r="B45" s="979" t="s">
        <v>78</v>
      </c>
      <c r="C45" s="980"/>
      <c r="D45" s="981" t="s">
        <v>38</v>
      </c>
      <c r="E45" s="980"/>
      <c r="F45" s="980"/>
      <c r="G45" s="982"/>
    </row>
    <row r="46" spans="1:11" ht="15.75" customHeight="1" x14ac:dyDescent="0.2">
      <c r="B46" s="979"/>
      <c r="C46" s="980"/>
      <c r="D46" s="981"/>
      <c r="E46" s="980"/>
      <c r="F46" s="980"/>
      <c r="G46" s="982"/>
    </row>
    <row r="47" spans="1:11" x14ac:dyDescent="0.2">
      <c r="B47" s="120" t="str">
        <f>'Asset Entry'!G7</f>
        <v>Cash in Personal Accounts</v>
      </c>
      <c r="C47" s="113">
        <f>PersCashTot</f>
        <v>0</v>
      </c>
      <c r="D47" s="1013" t="str">
        <f>'Liability Entry'!D7</f>
        <v>Personal Accounts Payable</v>
      </c>
      <c r="E47" s="1014"/>
      <c r="F47" s="1014"/>
      <c r="G47" s="136">
        <f>PersLAPTot</f>
        <v>0</v>
      </c>
    </row>
    <row r="48" spans="1:11" x14ac:dyDescent="0.2">
      <c r="B48" s="120" t="str">
        <f>'Asset Entry'!G14</f>
        <v>Stocks &amp; Bonds</v>
      </c>
      <c r="C48" s="114">
        <f>PersStockTot</f>
        <v>0</v>
      </c>
      <c r="D48" s="1019" t="s">
        <v>39</v>
      </c>
      <c r="E48" s="1020"/>
      <c r="F48" s="1020"/>
      <c r="G48" s="137">
        <f>LoanPersEntry+LoanPersEntryCurrent</f>
        <v>0</v>
      </c>
    </row>
    <row r="49" spans="2:7" x14ac:dyDescent="0.2">
      <c r="B49" s="120" t="str">
        <f>'Asset Entry'!G21</f>
        <v>Loans Receivable (personal loans)</v>
      </c>
      <c r="C49" s="114">
        <f>PersLoanRTot</f>
        <v>0</v>
      </c>
      <c r="D49" s="1013" t="str">
        <f>'Liability Entry'!D14</f>
        <v>Personal Credit Card Debt</v>
      </c>
      <c r="E49" s="1014"/>
      <c r="F49" s="1014"/>
      <c r="G49" s="137">
        <f>PersLCCTot</f>
        <v>0</v>
      </c>
    </row>
    <row r="50" spans="2:7" x14ac:dyDescent="0.2">
      <c r="B50" s="591" t="str">
        <f>'Asset Entry'!G28</f>
        <v>Personal Property</v>
      </c>
      <c r="C50" s="114">
        <f>PersPropTot</f>
        <v>0</v>
      </c>
      <c r="D50" s="1013" t="str">
        <f>'Liability Entry'!D21</f>
        <v>Personal Taxes Payable</v>
      </c>
      <c r="E50" s="1014"/>
      <c r="F50" s="1014"/>
      <c r="G50" s="137">
        <f>PersLTaxesTot</f>
        <v>0</v>
      </c>
    </row>
    <row r="51" spans="2:7" x14ac:dyDescent="0.2">
      <c r="B51" s="591" t="str">
        <f>'Asset Entry'!G35</f>
        <v>Personal Vehicles</v>
      </c>
      <c r="C51" s="114">
        <f>PersVehicleTot</f>
        <v>0</v>
      </c>
      <c r="D51" s="1019" t="s">
        <v>40</v>
      </c>
      <c r="E51" s="1020"/>
      <c r="F51" s="1020"/>
      <c r="G51" s="137">
        <f>LoanPersREEntry+LoanPersREEntryCurrent</f>
        <v>0</v>
      </c>
    </row>
    <row r="52" spans="2:7" x14ac:dyDescent="0.2">
      <c r="B52" s="120" t="str">
        <f>'Asset Entry'!G42</f>
        <v>Cash Value of Life Insurance Policies</v>
      </c>
      <c r="C52" s="114">
        <f>PersLifeInsTot</f>
        <v>0</v>
      </c>
      <c r="D52" s="1013" t="str">
        <f>'Liability Entry'!D28</f>
        <v>Other Personal Liabilities</v>
      </c>
      <c r="E52" s="1014"/>
      <c r="F52" s="1014"/>
      <c r="G52" s="137">
        <f>PersLOthTot</f>
        <v>0</v>
      </c>
    </row>
    <row r="53" spans="2:7" x14ac:dyDescent="0.2">
      <c r="B53" s="591" t="str">
        <f>'Asset Entry'!G49</f>
        <v>Personal Real Estate</v>
      </c>
      <c r="C53" s="114">
        <f>PersRetireTot</f>
        <v>0</v>
      </c>
      <c r="D53" s="1015" t="s">
        <v>42</v>
      </c>
      <c r="E53" s="1005"/>
      <c r="F53" s="1005"/>
      <c r="G53" s="138">
        <f>SUM(G47:G52)</f>
        <v>0</v>
      </c>
    </row>
    <row r="54" spans="2:7" x14ac:dyDescent="0.2">
      <c r="B54" s="591" t="str">
        <f>'Asset Entry'!G56</f>
        <v>Retirement Accounts</v>
      </c>
      <c r="C54" s="114">
        <f>PersRETot</f>
        <v>0</v>
      </c>
      <c r="D54" s="104"/>
      <c r="E54" s="100"/>
      <c r="F54" s="100"/>
      <c r="G54" s="139"/>
    </row>
    <row r="55" spans="2:7" x14ac:dyDescent="0.2">
      <c r="B55" s="120" t="str">
        <f>'Asset Entry'!G63</f>
        <v>Other Personal Assets</v>
      </c>
      <c r="C55" s="114">
        <f>PersOthTot</f>
        <v>0</v>
      </c>
      <c r="D55" s="104"/>
      <c r="E55" s="100"/>
      <c r="F55" s="100"/>
      <c r="G55" s="139"/>
    </row>
    <row r="56" spans="2:7" ht="15" x14ac:dyDescent="0.25">
      <c r="B56" s="123" t="s">
        <v>41</v>
      </c>
      <c r="C56" s="115">
        <f>SUM(C47:C55)</f>
        <v>0</v>
      </c>
      <c r="D56" s="1016" t="s">
        <v>43</v>
      </c>
      <c r="E56" s="1017"/>
      <c r="F56" s="1017"/>
      <c r="G56" s="140">
        <f>C56-G53</f>
        <v>0</v>
      </c>
    </row>
    <row r="57" spans="2:7" ht="6" customHeight="1" x14ac:dyDescent="0.2">
      <c r="B57" s="141"/>
      <c r="C57" s="116"/>
      <c r="D57" s="116"/>
      <c r="E57" s="116"/>
      <c r="F57" s="116"/>
      <c r="G57" s="142"/>
    </row>
    <row r="58" spans="2:7" x14ac:dyDescent="0.2">
      <c r="B58" s="143" t="s">
        <v>254</v>
      </c>
      <c r="C58" s="117">
        <f>C36</f>
        <v>0</v>
      </c>
      <c r="D58" s="978" t="s">
        <v>255</v>
      </c>
      <c r="E58" s="1018"/>
      <c r="F58" s="1018"/>
      <c r="G58" s="121">
        <f>G36</f>
        <v>0</v>
      </c>
    </row>
    <row r="59" spans="2:7" x14ac:dyDescent="0.2">
      <c r="B59" s="144" t="s">
        <v>41</v>
      </c>
      <c r="C59" s="118">
        <f>C56</f>
        <v>0</v>
      </c>
      <c r="D59" s="1025" t="s">
        <v>42</v>
      </c>
      <c r="E59" s="1025"/>
      <c r="F59" s="1025"/>
      <c r="G59" s="145">
        <f>G53</f>
        <v>0</v>
      </c>
    </row>
    <row r="60" spans="2:7" x14ac:dyDescent="0.2">
      <c r="B60" s="146" t="s">
        <v>83</v>
      </c>
      <c r="C60" s="119">
        <f>SUM(C58:C59)</f>
        <v>0</v>
      </c>
      <c r="D60" s="1021" t="s">
        <v>84</v>
      </c>
      <c r="E60" s="1021"/>
      <c r="F60" s="1021"/>
      <c r="G60" s="147">
        <f>SUM(G58:G59)</f>
        <v>0</v>
      </c>
    </row>
    <row r="61" spans="2:7" ht="15.75" customHeight="1" x14ac:dyDescent="0.2">
      <c r="B61" s="1007" t="s">
        <v>44</v>
      </c>
      <c r="C61" s="1008"/>
      <c r="D61" s="1011">
        <f>C60-G60</f>
        <v>0</v>
      </c>
      <c r="E61" s="1011"/>
      <c r="F61" s="100"/>
      <c r="G61" s="121"/>
    </row>
    <row r="62" spans="2:7" ht="0.95" customHeight="1" thickBot="1" x14ac:dyDescent="0.25">
      <c r="B62" s="1009"/>
      <c r="C62" s="1010"/>
      <c r="D62" s="1012"/>
      <c r="E62" s="1012"/>
      <c r="F62" s="134"/>
      <c r="G62" s="135"/>
    </row>
  </sheetData>
  <sheetProtection algorithmName="SHA-512" hashValue="5dEkc+zIrl0y1DrquOf9ZzKc/QyjA9RdUbBWncKh4mnuFZrRUP1+0/7TarHUv9uRMR/5uiKsZESYBtP6Al5G2Q==" saltValue="IPZ6A/ZHXwdZP6B5qR6zjw==" spinCount="100000" sheet="1" objects="1" scenarios="1"/>
  <mergeCells count="55">
    <mergeCell ref="B61:C62"/>
    <mergeCell ref="D61:E62"/>
    <mergeCell ref="D47:F47"/>
    <mergeCell ref="D53:F53"/>
    <mergeCell ref="D56:F56"/>
    <mergeCell ref="D58:F58"/>
    <mergeCell ref="D52:F52"/>
    <mergeCell ref="D51:F51"/>
    <mergeCell ref="D50:F50"/>
    <mergeCell ref="D49:F49"/>
    <mergeCell ref="D48:F48"/>
    <mergeCell ref="D60:F60"/>
    <mergeCell ref="D59:F59"/>
    <mergeCell ref="I31:K36"/>
    <mergeCell ref="D36:F36"/>
    <mergeCell ref="B31:C32"/>
    <mergeCell ref="D35:F35"/>
    <mergeCell ref="D44:E44"/>
    <mergeCell ref="D43:E43"/>
    <mergeCell ref="B41:G42"/>
    <mergeCell ref="D40:E40"/>
    <mergeCell ref="B40:C40"/>
    <mergeCell ref="E37:G37"/>
    <mergeCell ref="B39:C39"/>
    <mergeCell ref="B38:C38"/>
    <mergeCell ref="D39:E39"/>
    <mergeCell ref="D33:F33"/>
    <mergeCell ref="F3:G3"/>
    <mergeCell ref="D3:E3"/>
    <mergeCell ref="D34:F34"/>
    <mergeCell ref="B45:C46"/>
    <mergeCell ref="D45:G46"/>
    <mergeCell ref="D4:E4"/>
    <mergeCell ref="F4:G4"/>
    <mergeCell ref="B1:C4"/>
    <mergeCell ref="D30:F30"/>
    <mergeCell ref="D17:F17"/>
    <mergeCell ref="B5:C5"/>
    <mergeCell ref="D5:G5"/>
    <mergeCell ref="B6:B7"/>
    <mergeCell ref="C6:C7"/>
    <mergeCell ref="B18:B19"/>
    <mergeCell ref="C18:C19"/>
    <mergeCell ref="D38:E38"/>
    <mergeCell ref="B37:C37"/>
    <mergeCell ref="D6:F7"/>
    <mergeCell ref="D18:F19"/>
    <mergeCell ref="D31:G32"/>
    <mergeCell ref="D23:F23"/>
    <mergeCell ref="D24:F25"/>
    <mergeCell ref="B24:B25"/>
    <mergeCell ref="C24:C25"/>
    <mergeCell ref="G18:G19"/>
    <mergeCell ref="G6:G7"/>
    <mergeCell ref="G24:G25"/>
  </mergeCells>
  <printOptions horizontalCentered="1"/>
  <pageMargins left="0.25" right="0.25" top="0.75" bottom="0.75" header="0.3" footer="0.3"/>
  <pageSetup orientation="portrait" r:id="rId1"/>
  <headerFooter>
    <oddFooter>&amp;LAgPlan Balance Sheet&amp;RAgPlan.com</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400"/>
  </sheetPr>
  <dimension ref="A2:Q97"/>
  <sheetViews>
    <sheetView topLeftCell="A46" workbookViewId="0">
      <selection activeCell="K69" sqref="K69"/>
    </sheetView>
  </sheetViews>
  <sheetFormatPr defaultRowHeight="12.75" x14ac:dyDescent="0.2"/>
  <cols>
    <col min="2" max="2" width="11" customWidth="1"/>
    <col min="3" max="3" width="12.28515625" bestFit="1" customWidth="1"/>
    <col min="8" max="8" width="9.5703125" customWidth="1"/>
    <col min="9" max="9" width="14.85546875" customWidth="1"/>
    <col min="10" max="10" width="11.5703125" customWidth="1"/>
    <col min="11" max="12" width="10.28515625" customWidth="1"/>
    <col min="13" max="13" width="6.5703125" customWidth="1"/>
    <col min="15" max="15" width="9.5703125" customWidth="1"/>
    <col min="16" max="16" width="14.85546875" customWidth="1"/>
    <col min="17" max="17" width="11.5703125" customWidth="1"/>
    <col min="18" max="18" width="10.28515625" customWidth="1"/>
  </cols>
  <sheetData>
    <row r="2" spans="2:17" ht="13.5" thickBot="1" x14ac:dyDescent="0.25">
      <c r="B2" s="438" t="s">
        <v>126</v>
      </c>
      <c r="C2" s="439" t="s">
        <v>421</v>
      </c>
      <c r="D2" s="439" t="s">
        <v>179</v>
      </c>
      <c r="E2" s="439" t="s">
        <v>180</v>
      </c>
      <c r="G2" s="438" t="s">
        <v>200</v>
      </c>
      <c r="H2" s="439" t="s">
        <v>105</v>
      </c>
      <c r="I2" s="439" t="s">
        <v>103</v>
      </c>
      <c r="J2" s="439" t="s">
        <v>101</v>
      </c>
      <c r="K2" s="439" t="s">
        <v>100</v>
      </c>
      <c r="L2" s="57"/>
      <c r="M2" s="438" t="s">
        <v>200</v>
      </c>
      <c r="N2" s="768" t="s">
        <v>105</v>
      </c>
      <c r="O2" s="768" t="s">
        <v>103</v>
      </c>
      <c r="P2" s="768" t="s">
        <v>101</v>
      </c>
      <c r="Q2" s="768" t="s">
        <v>100</v>
      </c>
    </row>
    <row r="3" spans="2:17" ht="13.5" thickTop="1" x14ac:dyDescent="0.2">
      <c r="B3" s="849" t="s">
        <v>186</v>
      </c>
      <c r="C3" s="850" t="s">
        <v>5</v>
      </c>
      <c r="D3" s="851">
        <f>SUM('Loans to Cash Flows Wkst'!$H3:$K3)</f>
        <v>0</v>
      </c>
      <c r="E3" s="771">
        <f>SUM('Loans to Cash Flows Wkst'!$N3:$Q3)</f>
        <v>0</v>
      </c>
      <c r="G3" s="862" t="s">
        <v>5</v>
      </c>
      <c r="H3" s="851">
        <f>SUMIFS('Loan Entry'!$V$15:$V$18,'Loan Entry'!$D$15:$D$18,$C$2,'Loan Entry'!$AB$15:$AB$18,$C3,'Loan Entry'!$M$15:$M$18,'Loans to Cash Flows Wkst'!H$2)+SUMIFS('Loan Entry'!$V$23:$V$26,'Loan Entry'!$D$23:$D$26,$C$2,'Loan Entry'!$AB$23:$AB$26,$C3,'Loan Entry'!$M$23:$M$26,'Loans to Cash Flows Wkst'!H$2)+SUMIFS('Loan Entry'!$V$31:$V$34,'Loan Entry'!$D$31:$D$34,$C$2,'Loan Entry'!$AB$31:$AB$34,$C3,'Loan Entry'!$M$31:$M$34,'Loans to Cash Flows Wkst'!H$2)+SUMIFS('Loan Entry'!$V$47:$V$50,'Loan Entry'!$D$47:$D$50,$C$2,'Loan Entry'!$AB$47:$AB$50,$C3,'Loan Entry'!$M$47:$M$50,'Loans to Cash Flows Wkst'!H$2) +SUMIFS('Loan Entry'!$V$55:$V$58,'Loan Entry'!$D$55:$D$58,$C$2,'Loan Entry'!$AB$55:$AB$58,$C3,'Loan Entry'!$M$55:$M$58,'Loans to Cash Flows Wkst'!H$2)+SUMIFS('Loan Entry'!$V$39:$V$42,'Loan Entry'!$D$39:$D$42,$C$2,'Loan Entry'!$AB$39:$AB$42,$C3,'Loan Entry'!$M$39:$M$42,'Loans to Cash Flows Wkst'!H$2)</f>
        <v>0</v>
      </c>
      <c r="I3" s="771">
        <f>SUMIFS('Loan Entry'!$V$15:$V$18,'Loan Entry'!$D$15:$D$18,$C$2,'Loan Entry'!$AB$15:$AB$18,"*Jan*",'Loan Entry'!$M$15:$M$18,'Loans to Cash Flows Wkst'!I$2)+SUMIFS('Loan Entry'!$V$23:$V$26,'Loan Entry'!$D$23:$D$26,$C$2,'Loan Entry'!$AB$23:$AB$26,"*Jan*",'Loan Entry'!$M$23:$M$26,'Loans to Cash Flows Wkst'!I$2)+SUMIFS('Loan Entry'!$V$31:$V$34,'Loan Entry'!$D$31:$D$34,$C$2,'Loan Entry'!$AB$31:$AB$34,"*Jan*",'Loan Entry'!$M$31:$M$34,'Loans to Cash Flows Wkst'!I$2)+SUMIFS('Loan Entry'!$V$47:$V$50,'Loan Entry'!$D$47:$D$50,$C$2,'Loan Entry'!$AB$47:$AB$50,"*Jan*",'Loan Entry'!$M$47:$M$50,'Loans to Cash Flows Wkst'!I$2)+SUMIFS('Loan Entry'!$V$55:$V$58,'Loan Entry'!$D$55:$D$58,$C$2,'Loan Entry'!$AB$55:$AB$58,"*Jan*",'Loan Entry'!$M$55:$M$58,'Loans to Cash Flows Wkst'!I$2)+SUMIFS('Loan Entry'!$V$39:$V$42,'Loan Entry'!$D$39:$D$42,$C$2,'Loan Entry'!$AB$39:$AB$42,"*Jan*",'Loan Entry'!$M$39:$M$42,'Loans to Cash Flows Wkst'!I$2)</f>
        <v>0</v>
      </c>
      <c r="J3" s="771">
        <f>SUMIFS('Loan Entry'!$V$15:$V$18,'Loan Entry'!$D$15:$D$18,$C$2,'Loan Entry'!$AB$15:$AB$18,"*Jan*",'Loan Entry'!$M$15:$M$18,'Loans to Cash Flows Wkst'!J$2)+SUMIFS('Loan Entry'!$V$23:$V$26,'Loan Entry'!$D$23:$D$26,$C$2,'Loan Entry'!$AB$23:$AB$26,"*Jan*",'Loan Entry'!$M$23:$M$26,'Loans to Cash Flows Wkst'!J$2)+SUMIFS('Loan Entry'!$V$31:$V$34,'Loan Entry'!$D$31:$D$34,$C$2,'Loan Entry'!$AB$31:$AB$34,"*Jan*",'Loan Entry'!$M$31:$M$34,'Loans to Cash Flows Wkst'!J$2)+SUMIFS('Loan Entry'!$V$47:$V$50,'Loan Entry'!$D$47:$D$50,$C$2,'Loan Entry'!$AB$47:$AB$50,"*Jan*",'Loan Entry'!$M$47:$M$50,'Loans to Cash Flows Wkst'!J$2) +SUMIFS('Loan Entry'!$V$55:$V$58,'Loan Entry'!$D$55:$D$58,$C$2,'Loan Entry'!$AB$55:$AB$58,"*Jan*",'Loan Entry'!$M$55:$M$58,'Loans to Cash Flows Wkst'!J$2)+SUMIFS('Loan Entry'!$V$39:$V$42,'Loan Entry'!$D$39:$D$42,$C$2,'Loan Entry'!$AB$39:$AB$42,"*Jan*",'Loan Entry'!$M$39:$M$42,'Loans to Cash Flows Wkst'!J$2)</f>
        <v>0</v>
      </c>
      <c r="K3" s="771">
        <f>SUMIFS('Loan Entry'!$V$15:$V$18,'Loan Entry'!$D$15:$D$18,$C$2,'Loan Entry'!$AB$15:$AB$18,"*Jan*",'Loan Entry'!$M$15:$M$18,'Loans to Cash Flows Wkst'!K$2)+SUMIFS('Loan Entry'!$V$23:$V$26,'Loan Entry'!$D$23:$D$26,$C$2,'Loan Entry'!$AB$23:$AB$26,"*Jan*",'Loan Entry'!$M$23:$M$26,'Loans to Cash Flows Wkst'!K$2)+SUMIFS('Loan Entry'!$V$31:$V$34,'Loan Entry'!$D$31:$D$34,$C$2,'Loan Entry'!$AB$31:$AB$34,"*Jan*",'Loan Entry'!$M$31:$M$34,'Loans to Cash Flows Wkst'!K$2)+SUMIFS('Loan Entry'!$V$47:$V$50,'Loan Entry'!$D$47:$D$50,$C$2,'Loan Entry'!$AB$47:$AB$50,"*Jan*",'Loan Entry'!$M$47:$M$50,'Loans to Cash Flows Wkst'!K$2) +SUMIFS('Loan Entry'!$V$55:$V$58,'Loan Entry'!$D$55:$D$58,$C$2,'Loan Entry'!$AB$55:$AB$58,"*Jan*",'Loan Entry'!$M$55:$M$58,'Loans to Cash Flows Wkst'!K$2)+SUMIFS('Loan Entry'!$V$39:$V$42,'Loan Entry'!$D$39:$D$42,$C$2,'Loan Entry'!$AB$39:$AB$42,"*Jan*",'Loan Entry'!$M$39:$M$42,'Loans to Cash Flows Wkst'!K$2)</f>
        <v>0</v>
      </c>
      <c r="M3" s="862" t="s">
        <v>5</v>
      </c>
      <c r="N3" s="771">
        <f>SUMIFS('Loan Entry'!$W$15:$W$18,'Loan Entry'!$D$15:$D$18,$C$2,'Loan Entry'!$AB$15:$AB$18,$C3,'Loan Entry'!$M$15:$M$18,'Loans to Cash Flows Wkst'!N$2)+SUMIFS('Loan Entry'!$W$23:$W$26,'Loan Entry'!$D$23:$D$26,$C$2,'Loan Entry'!$AB$23:$AB$26,$C3,'Loan Entry'!$M$23:$M$26,'Loans to Cash Flows Wkst'!N$2)+SUMIFS('Loan Entry'!$W$31:$W$34,'Loan Entry'!$D$31:$D$34,$C$2,'Loan Entry'!$AB$31:$AB$34,$C3,'Loan Entry'!$M$31:$M$34,'Loans to Cash Flows Wkst'!N$2)+SUMIFS('Loan Entry'!$W$47:$W$50,'Loan Entry'!$D$47:$D$50,$C$2,'Loan Entry'!$AB$47:$AB$50,$C3,'Loan Entry'!$M$47:$M$50,'Loans to Cash Flows Wkst'!N$2)+SUMIFS('Loan Entry'!$W$55:$W$58,'Loan Entry'!$D$55:$D$58,$C$2,'Loan Entry'!$AB$55:$AB$58,$C3,'Loan Entry'!$M$55:$M$58,'Loans to Cash Flows Wkst'!N$2)+SUMIFS('Loan Entry'!$W$39:$W$42,'Loan Entry'!$D$39:$D$42,$C$2,'Loan Entry'!$AB$39:$AB$42,$C3,'Loan Entry'!$M$39:$M$42,'Loans to Cash Flows Wkst'!N$2)</f>
        <v>0</v>
      </c>
      <c r="O3" s="771">
        <f>SUMIFS('Loan Entry'!$W$15:$W$18,'Loan Entry'!$D$15:$D$18,$C$2,'Loan Entry'!$AB$15:$AB$18,"*Jan*",'Loan Entry'!$M$15:$M$18,'Loans to Cash Flows Wkst'!O$2)+SUMIFS('Loan Entry'!$W$23:$W$26,'Loan Entry'!$D$23:$D$26,$C$2,'Loan Entry'!$AB$23:$AB$26,"*Jan*",'Loan Entry'!$M$23:$M$26,'Loans to Cash Flows Wkst'!O$2)+SUMIFS('Loan Entry'!$W$31:$W$34,'Loan Entry'!$D$31:$D$34,$C$2,'Loan Entry'!$AB$31:$AB$34,"*Jan*",'Loan Entry'!$M$31:$M$34,'Loans to Cash Flows Wkst'!O$2)+SUMIFS('Loan Entry'!$W$47:$W$50,'Loan Entry'!$D$47:$D$50,$C$2,'Loan Entry'!$AB$47:$AB$50,"*Jan*",'Loan Entry'!$M$47:$M$50,'Loans to Cash Flows Wkst'!O$2)+SUMIFS('Loan Entry'!$W$55:$W$58,'Loan Entry'!$D$55:$D$58,$C$2,'Loan Entry'!$AB$55:$AB$58,"*Jan*",'Loan Entry'!$M$55:$M$58,'Loans to Cash Flows Wkst'!O$2)+SUMIFS('Loan Entry'!$W$39:$W$42,'Loan Entry'!$D$39:$D$42,$C$2,'Loan Entry'!$AB$39:$AB$42,"*Jan*",'Loan Entry'!$M$39:$M$42,'Loans to Cash Flows Wkst'!O$2)</f>
        <v>0</v>
      </c>
      <c r="P3" s="771">
        <f>SUMIFS('Loan Entry'!$W$15:$W$18,'Loan Entry'!$D$15:$D$18,$C$2,'Loan Entry'!$AB$15:$AB$18,"*Jan*",'Loan Entry'!$M$15:$M$18,'Loans to Cash Flows Wkst'!P$2)+SUMIFS('Loan Entry'!$W$23:$W$26,'Loan Entry'!$D$23:$D$26,$C$2,'Loan Entry'!$AB$23:$AB$26,"*Jan*",'Loan Entry'!$M$23:$M$26,'Loans to Cash Flows Wkst'!P$2)+SUMIFS('Loan Entry'!$W$31:$W$34,'Loan Entry'!$D$31:$D$34,$C$2,'Loan Entry'!$AB$31:$AB$34,"*Jan*",'Loan Entry'!$M$31:$M$34,'Loans to Cash Flows Wkst'!P$2)+SUMIFS('Loan Entry'!$W$47:$W$50,'Loan Entry'!$D$47:$D$50,$C$2,'Loan Entry'!$AB$47:$AB$50,"*Jan*",'Loan Entry'!$M$47:$M$50,'Loans to Cash Flows Wkst'!P$2)+SUMIFS('Loan Entry'!$W$55:$W$58,'Loan Entry'!$D$55:$D$58,$C$2,'Loan Entry'!$AB$55:$AB$58,"*Jan*",'Loan Entry'!$M$55:$M$58,'Loans to Cash Flows Wkst'!P$2)+SUMIFS('Loan Entry'!$W$39:$W$42,'Loan Entry'!$D$39:$D$42,$C$2,'Loan Entry'!$AB$39:$AB$42,"*Jan*",'Loan Entry'!$M$39:$M$42,'Loans to Cash Flows Wkst'!P$2)</f>
        <v>0</v>
      </c>
      <c r="Q3" s="771">
        <f>SUMIFS('Loan Entry'!$W$15:$W$18,'Loan Entry'!$D$15:$D$18,$C$2,'Loan Entry'!$AB$15:$AB$18,"*Jan*",'Loan Entry'!$M$15:$M$18,'Loans to Cash Flows Wkst'!Q$2)+SUMIFS('Loan Entry'!$W$23:$W$26,'Loan Entry'!$D$23:$D$26,$C$2,'Loan Entry'!$AB$23:$AB$26,"*Jan*",'Loan Entry'!$M$23:$M$26,'Loans to Cash Flows Wkst'!Q$2)+SUMIFS('Loan Entry'!$W$31:$W$34,'Loan Entry'!$D$31:$D$34,$C$2,'Loan Entry'!$AB$31:$AB$34,"*Jan*",'Loan Entry'!$M$31:$M$34,'Loans to Cash Flows Wkst'!Q$2)+SUMIFS('Loan Entry'!$W$47:$W$50,'Loan Entry'!$D$47:$D$50,$C$2,'Loan Entry'!$AB$47:$AB$50,"*Jan*",'Loan Entry'!$M$47:$M$50,'Loans to Cash Flows Wkst'!Q$2)+SUMIFS('Loan Entry'!$W$55:$W$58,'Loan Entry'!$D$55:$D$58,$C$2,'Loan Entry'!$AB$55:$AB$58,"*Jan*",'Loan Entry'!$M$55:$M$58,'Loans to Cash Flows Wkst'!Q$2)+SUMIFS('Loan Entry'!$W$39:$W$42,'Loan Entry'!$D$39:$D$42,$C$2,'Loan Entry'!$AB$39:$AB$42,"*Jan*",'Loan Entry'!$M$39:$M$42,'Loans to Cash Flows Wkst'!Q$2)</f>
        <v>0</v>
      </c>
    </row>
    <row r="4" spans="2:17" x14ac:dyDescent="0.2">
      <c r="B4" s="852" t="s">
        <v>187</v>
      </c>
      <c r="C4" s="853" t="s">
        <v>6</v>
      </c>
      <c r="D4" s="854">
        <f>SUM('Loans to Cash Flows Wkst'!$H4:$K4)</f>
        <v>0</v>
      </c>
      <c r="E4" s="765">
        <f>SUM('Loans to Cash Flows Wkst'!$N4:$Q4)</f>
        <v>0</v>
      </c>
      <c r="G4" s="863" t="s">
        <v>6</v>
      </c>
      <c r="H4" s="854">
        <f>SUMIFS('Loan Entry'!$V$15:$V$18,'Loan Entry'!$D$15:$D$18,$C$2,'Loan Entry'!$AB$15:$AB$18,$C4,'Loan Entry'!$M$15:$M$18,'Loans to Cash Flows Wkst'!H$2)+SUMIFS('Loan Entry'!$V$23:$V$26,'Loan Entry'!$D$23:$D$26,$C$2,'Loan Entry'!$AB$23:$AB$26,$C4,'Loan Entry'!$M$23:$M$26,'Loans to Cash Flows Wkst'!H$2)+SUMIFS('Loan Entry'!$V$31:$V$34,'Loan Entry'!$D$31:$D$34,$C$2,'Loan Entry'!$AB$31:$AB$34,$C4,'Loan Entry'!$M$31:$M$34,'Loans to Cash Flows Wkst'!H$2)+SUMIFS('Loan Entry'!$V$47:$V$50,'Loan Entry'!$D$47:$D$50,$C$2,'Loan Entry'!$AB$47:$AB$50,$C4,'Loan Entry'!$M$47:$M$50,'Loans to Cash Flows Wkst'!H$2) +SUMIFS('Loan Entry'!$V$55:$V$58,'Loan Entry'!$D$55:$D$58,$C$2,'Loan Entry'!$AB$55:$AB$58,$C4,'Loan Entry'!$M$55:$M$58,'Loans to Cash Flows Wkst'!H$2)+SUMIFS('Loan Entry'!$V$39:$V$42,'Loan Entry'!$D$39:$D$42,$C$2,'Loan Entry'!$AB$39:$AB$42,$C4,'Loan Entry'!$M$39:$M$42,'Loans to Cash Flows Wkst'!H$2)</f>
        <v>0</v>
      </c>
      <c r="I4" s="765">
        <f>SUMIFS('Loan Entry'!$V$15:$V$18,'Loan Entry'!$D$15:$D$18,$C$2,'Loan Entry'!$AB$15:$AB$18,"*Feb*",'Loan Entry'!$M$15:$M$18,'Loans to Cash Flows Wkst'!I$2)+SUMIFS('Loan Entry'!$V$23:$V$26,'Loan Entry'!$D$23:$D$26,$C$2,'Loan Entry'!$AB$23:$AB$26,"*Feb*",'Loan Entry'!$M$23:$M$26,'Loans to Cash Flows Wkst'!I$2)+SUMIFS('Loan Entry'!$V$31:$V$34,'Loan Entry'!$D$31:$D$34,$C$2,'Loan Entry'!$AB$31:$AB$34,"*Feb*",'Loan Entry'!$M$31:$M$34,'Loans to Cash Flows Wkst'!I$2)+SUMIFS('Loan Entry'!$V$47:$V$50,'Loan Entry'!$D$47:$D$50,$C$2,'Loan Entry'!$AB$47:$AB$50,"*Feb*",'Loan Entry'!$M$47:$M$50,'Loans to Cash Flows Wkst'!I$2)+SUMIFS('Loan Entry'!$V$55:$V$58,'Loan Entry'!$D$55:$D$58,$C$2,'Loan Entry'!$AB$55:$AB$58,"*Feb*",'Loan Entry'!$M$55:$M$58,'Loans to Cash Flows Wkst'!I$2)+SUMIFS('Loan Entry'!$V$39:$V$42,'Loan Entry'!$D$39:$D$42,$C$2,'Loan Entry'!$AB$39:$AB$42,"*Feb*",'Loan Entry'!$M$39:$M$42,'Loans to Cash Flows Wkst'!I$2)</f>
        <v>0</v>
      </c>
      <c r="J4" s="765">
        <f>SUMIFS('Loan Entry'!$V$15:$V$18,'Loan Entry'!$D$15:$D$18,$C$2,'Loan Entry'!$AB$15:$AB$18,"*Feb*",'Loan Entry'!$M$15:$M$18,'Loans to Cash Flows Wkst'!J$2)+SUMIFS('Loan Entry'!$V$23:$V$26,'Loan Entry'!$D$23:$D$26,$C$2,'Loan Entry'!$AB$23:$AB$26,"*Feb*",'Loan Entry'!$M$23:$M$26,'Loans to Cash Flows Wkst'!J$2)+SUMIFS('Loan Entry'!$V$31:$V$34,'Loan Entry'!$D$31:$D$34,$C$2,'Loan Entry'!$AB$31:$AB$34,"*Feb*",'Loan Entry'!$M$31:$M$34,'Loans to Cash Flows Wkst'!J$2)+SUMIFS('Loan Entry'!$V$47:$V$50,'Loan Entry'!$D$47:$D$50,$C$2,'Loan Entry'!$AB$47:$AB$50,"*Feb*",'Loan Entry'!$M$47:$M$50,'Loans to Cash Flows Wkst'!J$2) +SUMIFS('Loan Entry'!$V$55:$V$58,'Loan Entry'!$D$55:$D$58,$C$2,'Loan Entry'!$AB$55:$AB$58,"*Feb*",'Loan Entry'!$M$55:$M$58,'Loans to Cash Flows Wkst'!J$2)+SUMIFS('Loan Entry'!$V$39:$V$42,'Loan Entry'!$D$39:$D$42,$C$2,'Loan Entry'!$AB$39:$AB$42,"*Feb*",'Loan Entry'!$M$39:$M$42,'Loans to Cash Flows Wkst'!J$2)</f>
        <v>0</v>
      </c>
      <c r="K4" s="765">
        <f>SUMIFS('Loan Entry'!$V$15:$V$18,'Loan Entry'!$D$15:$D$18,$C$2,'Loan Entry'!$AB$15:$AB$18,"*Feb*",'Loan Entry'!$M$15:$M$18,'Loans to Cash Flows Wkst'!K$2)+SUMIFS('Loan Entry'!$V$23:$V$26,'Loan Entry'!$D$23:$D$26,$C$2,'Loan Entry'!$AB$23:$AB$26,"*Feb*",'Loan Entry'!$M$23:$M$26,'Loans to Cash Flows Wkst'!K$2)+SUMIFS('Loan Entry'!$V$31:$V$34,'Loan Entry'!$D$31:$D$34,$C$2,'Loan Entry'!$AB$31:$AB$34,"*Feb*",'Loan Entry'!$M$31:$M$34,'Loans to Cash Flows Wkst'!K$2)+SUMIFS('Loan Entry'!$V$47:$V$50,'Loan Entry'!$D$47:$D$50,$C$2,'Loan Entry'!$AB$47:$AB$50,"*Feb*",'Loan Entry'!$M$47:$M$50,'Loans to Cash Flows Wkst'!K$2) +SUMIFS('Loan Entry'!$V$55:$V$58,'Loan Entry'!$D$55:$D$58,$C$2,'Loan Entry'!$AB$55:$AB$58,"*Feb*",'Loan Entry'!$M$55:$M$58,'Loans to Cash Flows Wkst'!K$2)+SUMIFS('Loan Entry'!$V$39:$V$42,'Loan Entry'!$D$39:$D$42,$C$2,'Loan Entry'!$AB$39:$AB$42,"*Feb*",'Loan Entry'!$M$39:$M$42,'Loans to Cash Flows Wkst'!K$2)</f>
        <v>0</v>
      </c>
      <c r="M4" s="863" t="s">
        <v>6</v>
      </c>
      <c r="N4" s="765">
        <f>SUMIFS('Loan Entry'!$W$15:$W$18,'Loan Entry'!$D$15:$D$18,$C$2,'Loan Entry'!$AB$15:$AB$18,$C4,'Loan Entry'!$M$15:$M$18,'Loans to Cash Flows Wkst'!N$2)+SUMIFS('Loan Entry'!$W$23:$W$26,'Loan Entry'!$D$23:$D$26,$C$2,'Loan Entry'!$AB$23:$AB$26,$C4,'Loan Entry'!$M$23:$M$26,'Loans to Cash Flows Wkst'!N$2)+SUMIFS('Loan Entry'!$W$31:$W$34,'Loan Entry'!$D$31:$D$34,$C$2,'Loan Entry'!$AB$31:$AB$34,$C4,'Loan Entry'!$M$31:$M$34,'Loans to Cash Flows Wkst'!N$2)+SUMIFS('Loan Entry'!$W$47:$W$50,'Loan Entry'!$D$47:$D$50,$C$2,'Loan Entry'!$AB$47:$AB$50,$C4,'Loan Entry'!$M$47:$M$50,'Loans to Cash Flows Wkst'!N$2)+SUMIFS('Loan Entry'!$W$55:$W$58,'Loan Entry'!$D$55:$D$58,$C$2,'Loan Entry'!$AB$55:$AB$58,$C4,'Loan Entry'!$M$55:$M$58,'Loans to Cash Flows Wkst'!N$2)+SUMIFS('Loan Entry'!$W$39:$W$42,'Loan Entry'!$D$39:$D$42,$C$2,'Loan Entry'!$AB$39:$AB$42,$C4,'Loan Entry'!$M$39:$M$42,'Loans to Cash Flows Wkst'!N$2)</f>
        <v>0</v>
      </c>
      <c r="O4" s="765">
        <f>SUMIFS('Loan Entry'!$W$15:$W$18,'Loan Entry'!$D$15:$D$18,$C$2,'Loan Entry'!$AB$15:$AB$18,"*Feb*",'Loan Entry'!$M$15:$M$18,'Loans to Cash Flows Wkst'!O$2)+SUMIFS('Loan Entry'!$W$23:$W$26,'Loan Entry'!$D$23:$D$26,$C$2,'Loan Entry'!$AB$23:$AB$26,"*Feb*",'Loan Entry'!$M$23:$M$26,'Loans to Cash Flows Wkst'!O$2)+SUMIFS('Loan Entry'!$W$31:$W$34,'Loan Entry'!$D$31:$D$34,$C$2,'Loan Entry'!$AB$31:$AB$34,"*Feb*",'Loan Entry'!$M$31:$M$34,'Loans to Cash Flows Wkst'!O$2)+SUMIFS('Loan Entry'!$W$47:$W$50,'Loan Entry'!$D$47:$D$50,$C$2,'Loan Entry'!$AB$47:$AB$50,"*Feb*",'Loan Entry'!$M$47:$M$50,'Loans to Cash Flows Wkst'!O$2)+SUMIFS('Loan Entry'!$W$55:$W$58,'Loan Entry'!$D$55:$D$58,$C$2,'Loan Entry'!$AB$55:$AB$58,"*Feb*",'Loan Entry'!$M$55:$M$58,'Loans to Cash Flows Wkst'!O$2)+SUMIFS('Loan Entry'!$W$39:$W$42,'Loan Entry'!$D$39:$D$42,$C$2,'Loan Entry'!$AB$39:$AB$42,"*Feb*",'Loan Entry'!$M$39:$M$42,'Loans to Cash Flows Wkst'!O$2)</f>
        <v>0</v>
      </c>
      <c r="P4" s="765">
        <f>SUMIFS('Loan Entry'!$W$15:$W$18,'Loan Entry'!$D$15:$D$18,$C$2,'Loan Entry'!$AB$15:$AB$18,"*Feb*",'Loan Entry'!$M$15:$M$18,'Loans to Cash Flows Wkst'!P$2)+SUMIFS('Loan Entry'!$W$23:$W$26,'Loan Entry'!$D$23:$D$26,$C$2,'Loan Entry'!$AB$23:$AB$26,"*Feb*",'Loan Entry'!$M$23:$M$26,'Loans to Cash Flows Wkst'!P$2)+SUMIFS('Loan Entry'!$W$31:$W$34,'Loan Entry'!$D$31:$D$34,$C$2,'Loan Entry'!$AB$31:$AB$34,"*Feb*",'Loan Entry'!$M$31:$M$34,'Loans to Cash Flows Wkst'!P$2)+SUMIFS('Loan Entry'!$W$47:$W$50,'Loan Entry'!$D$47:$D$50,$C$2,'Loan Entry'!$AB$47:$AB$50,"*Feb*",'Loan Entry'!$M$47:$M$50,'Loans to Cash Flows Wkst'!P$2)+SUMIFS('Loan Entry'!$W$55:$W$58,'Loan Entry'!$D$55:$D$58,$C$2,'Loan Entry'!$AB$55:$AB$58,"*Feb*",'Loan Entry'!$M$55:$M$58,'Loans to Cash Flows Wkst'!P$2)+SUMIFS('Loan Entry'!$W$39:$W$42,'Loan Entry'!$D$39:$D$42,$C$2,'Loan Entry'!$AB$39:$AB$42,"*Feb*",'Loan Entry'!$M$39:$M$42,'Loans to Cash Flows Wkst'!P$2)</f>
        <v>0</v>
      </c>
      <c r="Q4" s="765">
        <f>SUMIFS('Loan Entry'!$W$15:$W$18,'Loan Entry'!$D$15:$D$18,$C$2,'Loan Entry'!$AB$15:$AB$18,"*Feb*",'Loan Entry'!$M$15:$M$18,'Loans to Cash Flows Wkst'!Q$2)+SUMIFS('Loan Entry'!$W$23:$W$26,'Loan Entry'!$D$23:$D$26,$C$2,'Loan Entry'!$AB$23:$AB$26,"*Feb*",'Loan Entry'!$M$23:$M$26,'Loans to Cash Flows Wkst'!Q$2)+SUMIFS('Loan Entry'!$W$31:$W$34,'Loan Entry'!$D$31:$D$34,$C$2,'Loan Entry'!$AB$31:$AB$34,"*Feb*",'Loan Entry'!$M$31:$M$34,'Loans to Cash Flows Wkst'!Q$2)+SUMIFS('Loan Entry'!$W$47:$W$50,'Loan Entry'!$D$47:$D$50,$C$2,'Loan Entry'!$AB$47:$AB$50,"*Feb*",'Loan Entry'!$M$47:$M$50,'Loans to Cash Flows Wkst'!Q$2)+SUMIFS('Loan Entry'!$W$55:$W$58,'Loan Entry'!$D$55:$D$58,$C$2,'Loan Entry'!$AB$55:$AB$58,"*Feb*",'Loan Entry'!$M$55:$M$58,'Loans to Cash Flows Wkst'!Q$2)+SUMIFS('Loan Entry'!$W$39:$W$42,'Loan Entry'!$D$39:$D$42,$C$2,'Loan Entry'!$AB$39:$AB$42,"*Feb*",'Loan Entry'!$M$39:$M$42,'Loans to Cash Flows Wkst'!Q$2)</f>
        <v>0</v>
      </c>
    </row>
    <row r="5" spans="2:17" x14ac:dyDescent="0.2">
      <c r="B5" s="855" t="s">
        <v>188</v>
      </c>
      <c r="C5" s="856" t="s">
        <v>7</v>
      </c>
      <c r="D5" s="857">
        <f>SUM('Loans to Cash Flows Wkst'!$H5:$K5)</f>
        <v>0</v>
      </c>
      <c r="E5" s="764">
        <f>SUM('Loans to Cash Flows Wkst'!$N5:$Q5)</f>
        <v>0</v>
      </c>
      <c r="G5" s="855" t="s">
        <v>7</v>
      </c>
      <c r="H5" s="857">
        <f>SUMIFS('Loan Entry'!$V$15:$V$18,'Loan Entry'!$D$15:$D$18,$C$2,'Loan Entry'!$AB$15:$AB$18,$C5,'Loan Entry'!$M$15:$M$18,'Loans to Cash Flows Wkst'!H$2)+SUMIFS('Loan Entry'!$V$23:$V$26,'Loan Entry'!$D$23:$D$26,$C$2,'Loan Entry'!$AB$23:$AB$26,$C5,'Loan Entry'!$M$23:$M$26,'Loans to Cash Flows Wkst'!H$2)+SUMIFS('Loan Entry'!$V$31:$V$34,'Loan Entry'!$D$31:$D$34,$C$2,'Loan Entry'!$AB$31:$AB$34,$C5,'Loan Entry'!$M$31:$M$34,'Loans to Cash Flows Wkst'!H$2)+SUMIFS('Loan Entry'!$V$47:$V$50,'Loan Entry'!$D$47:$D$50,$C$2,'Loan Entry'!$AB$47:$AB$50,$C5,'Loan Entry'!$M$47:$M$50,'Loans to Cash Flows Wkst'!H$2) +SUMIFS('Loan Entry'!$V$55:$V$58,'Loan Entry'!$D$55:$D$58,$C$2,'Loan Entry'!$AB$55:$AB$58,$C5,'Loan Entry'!$M$55:$M$58,'Loans to Cash Flows Wkst'!H$2)+SUMIFS('Loan Entry'!$V$39:$V$42,'Loan Entry'!$D$39:$D$42,$C$2,'Loan Entry'!$AB$39:$AB$42,$C5,'Loan Entry'!$M$39:$M$42,'Loans to Cash Flows Wkst'!H$2)</f>
        <v>0</v>
      </c>
      <c r="I5" s="764">
        <f>SUMIFS('Loan Entry'!$V$15:$V$18,'Loan Entry'!$D$15:$D$18,$C$2,'Loan Entry'!$AB$15:$AB$18,"*Mar*",'Loan Entry'!$M$15:$M$18,'Loans to Cash Flows Wkst'!I$2)+SUMIFS('Loan Entry'!$V$23:$V$26,'Loan Entry'!$D$23:$D$26,$C$2,'Loan Entry'!$AB$23:$AB$26,"*Mar*",'Loan Entry'!$M$23:$M$26,'Loans to Cash Flows Wkst'!I$2)+SUMIFS('Loan Entry'!$V$31:$V$34,'Loan Entry'!$D$31:$D$34,$C$2,'Loan Entry'!$AB$31:$AB$34,"*Mar*",'Loan Entry'!$M$31:$M$34,'Loans to Cash Flows Wkst'!I$2)+SUMIFS('Loan Entry'!$V$47:$V$50,'Loan Entry'!$D$47:$D$50,$C$2,'Loan Entry'!$AB$47:$AB$50,"*Mar*",'Loan Entry'!$M$47:$M$50,'Loans to Cash Flows Wkst'!I$2)+SUMIFS('Loan Entry'!$V$55:$V$58,'Loan Entry'!$D$55:$D$58,$C$2,'Loan Entry'!$AB$55:$AB$58,"*Mar*",'Loan Entry'!$M$55:$M$58,'Loans to Cash Flows Wkst'!I$2)+SUMIFS('Loan Entry'!$V$39:$V$42,'Loan Entry'!$D$39:$D$42,$C$2,'Loan Entry'!$AB$39:$AB$42,"*Mar*",'Loan Entry'!$M$39:$M$42,'Loans to Cash Flows Wkst'!I$2)</f>
        <v>0</v>
      </c>
      <c r="J5" s="764">
        <f>SUMIFS('Loan Entry'!$V$15:$V$18,'Loan Entry'!$D$15:$D$18,$C$2,'Loan Entry'!$AB$15:$AB$18,"*Mar*",'Loan Entry'!$M$15:$M$18,'Loans to Cash Flows Wkst'!J$2)+SUMIFS('Loan Entry'!$V$23:$V$26,'Loan Entry'!$D$23:$D$26,$C$2,'Loan Entry'!$AB$23:$AB$26,"*Mar*",'Loan Entry'!$M$23:$M$26,'Loans to Cash Flows Wkst'!J$2)+SUMIFS('Loan Entry'!$V$31:$V$34,'Loan Entry'!$D$31:$D$34,$C$2,'Loan Entry'!$AB$31:$AB$34,"*Mar*",'Loan Entry'!$M$31:$M$34,'Loans to Cash Flows Wkst'!J$2)+SUMIFS('Loan Entry'!$V$47:$V$50,'Loan Entry'!$D$47:$D$50,$C$2,'Loan Entry'!$AB$47:$AB$50,"*Mar*",'Loan Entry'!$M$47:$M$50,'Loans to Cash Flows Wkst'!J$2) +SUMIFS('Loan Entry'!$V$55:$V$58,'Loan Entry'!$D$55:$D$58,$C$2,'Loan Entry'!$AB$55:$AB$58,"*Mar*",'Loan Entry'!$M$55:$M$58,'Loans to Cash Flows Wkst'!J$2)+SUMIFS('Loan Entry'!$V$39:$V$42,'Loan Entry'!$D$39:$D$42,$C$2,'Loan Entry'!$AB$39:$AB$42,"*Mar*",'Loan Entry'!$M$39:$M$42,'Loans to Cash Flows Wkst'!J$2)</f>
        <v>0</v>
      </c>
      <c r="K5" s="764">
        <f>SUMIFS('Loan Entry'!$V$15:$V$18,'Loan Entry'!$D$15:$D$18,$C$2,'Loan Entry'!$AB$15:$AB$18,"*Mar*",'Loan Entry'!$M$15:$M$18,'Loans to Cash Flows Wkst'!K$2)+SUMIFS('Loan Entry'!$V$23:$V$26,'Loan Entry'!$D$23:$D$26,$C$2,'Loan Entry'!$AB$23:$AB$26,"*Mar*",'Loan Entry'!$M$23:$M$26,'Loans to Cash Flows Wkst'!K$2)+SUMIFS('Loan Entry'!$V$31:$V$34,'Loan Entry'!$D$31:$D$34,$C$2,'Loan Entry'!$AB$31:$AB$34,"*Mar*",'Loan Entry'!$M$31:$M$34,'Loans to Cash Flows Wkst'!K$2)+SUMIFS('Loan Entry'!$V$47:$V$50,'Loan Entry'!$D$47:$D$50,$C$2,'Loan Entry'!$AB$47:$AB$50,"*Mar*",'Loan Entry'!$M$47:$M$50,'Loans to Cash Flows Wkst'!K$2) +SUMIFS('Loan Entry'!$V$55:$V$58,'Loan Entry'!$D$55:$D$58,$C$2,'Loan Entry'!$AB$55:$AB$58,"*Mar*",'Loan Entry'!$M$55:$M$58,'Loans to Cash Flows Wkst'!K$2)+SUMIFS('Loan Entry'!$V$39:$V$42,'Loan Entry'!$D$39:$D$42,$C$2,'Loan Entry'!$AB$39:$AB$42,"*Mar*",'Loan Entry'!$M$39:$M$42,'Loans to Cash Flows Wkst'!K$2)</f>
        <v>0</v>
      </c>
      <c r="M5" s="855" t="s">
        <v>7</v>
      </c>
      <c r="N5" s="764">
        <f>SUMIFS('Loan Entry'!$W$15:$W$18,'Loan Entry'!$D$15:$D$18,$C$2,'Loan Entry'!$AB$15:$AB$18,$C5,'Loan Entry'!$M$15:$M$18,'Loans to Cash Flows Wkst'!N$2)+SUMIFS('Loan Entry'!$W$23:$W$26,'Loan Entry'!$D$23:$D$26,$C$2,'Loan Entry'!$AB$23:$AB$26,$C5,'Loan Entry'!$M$23:$M$26,'Loans to Cash Flows Wkst'!N$2)+SUMIFS('Loan Entry'!$W$31:$W$34,'Loan Entry'!$D$31:$D$34,$C$2,'Loan Entry'!$AB$31:$AB$34,$C5,'Loan Entry'!$M$31:$M$34,'Loans to Cash Flows Wkst'!N$2)+SUMIFS('Loan Entry'!$W$47:$W$50,'Loan Entry'!$D$47:$D$50,$C$2,'Loan Entry'!$AB$47:$AB$50,$C5,'Loan Entry'!$M$47:$M$50,'Loans to Cash Flows Wkst'!N$2)+SUMIFS('Loan Entry'!$W$55:$W$58,'Loan Entry'!$D$55:$D$58,$C$2,'Loan Entry'!$AB$55:$AB$58,$C5,'Loan Entry'!$M$55:$M$58,'Loans to Cash Flows Wkst'!N$2)+SUMIFS('Loan Entry'!$W$39:$W$42,'Loan Entry'!$D$39:$D$42,$C$2,'Loan Entry'!$AB$39:$AB$42,$C5,'Loan Entry'!$M$39:$M$42,'Loans to Cash Flows Wkst'!N$2)</f>
        <v>0</v>
      </c>
      <c r="O5" s="764">
        <f>SUMIFS('Loan Entry'!$W$15:$W$18,'Loan Entry'!$D$15:$D$18,$C$2,'Loan Entry'!$AB$15:$AB$18,"*Mar*",'Loan Entry'!$M$15:$M$18,'Loans to Cash Flows Wkst'!O$2)+SUMIFS('Loan Entry'!$W$23:$W$26,'Loan Entry'!$D$23:$D$26,$C$2,'Loan Entry'!$AB$23:$AB$26,"*Mar*",'Loan Entry'!$M$23:$M$26,'Loans to Cash Flows Wkst'!O$2)+SUMIFS('Loan Entry'!$W$31:$W$34,'Loan Entry'!$D$31:$D$34,$C$2,'Loan Entry'!$AB$31:$AB$34,"*Mar*",'Loan Entry'!$M$31:$M$34,'Loans to Cash Flows Wkst'!O$2)+SUMIFS('Loan Entry'!$W$47:$W$50,'Loan Entry'!$D$47:$D$50,$C$2,'Loan Entry'!$AB$47:$AB$50,"*Mar*",'Loan Entry'!$M$47:$M$50,'Loans to Cash Flows Wkst'!O$2)+SUMIFS('Loan Entry'!$W$55:$W$58,'Loan Entry'!$D$55:$D$58,$C$2,'Loan Entry'!$AB$55:$AB$58,"*Mar*",'Loan Entry'!$M$55:$M$58,'Loans to Cash Flows Wkst'!O$2)+SUMIFS('Loan Entry'!$W$39:$W$42,'Loan Entry'!$D$39:$D$42,$C$2,'Loan Entry'!$AB$39:$AB$42,"*Mar*",'Loan Entry'!$M$39:$M$42,'Loans to Cash Flows Wkst'!O$2)</f>
        <v>0</v>
      </c>
      <c r="P5" s="764">
        <f>SUMIFS('Loan Entry'!$W$15:$W$18,'Loan Entry'!$D$15:$D$18,$C$2,'Loan Entry'!$AB$15:$AB$18,"*Mar*",'Loan Entry'!$M$15:$M$18,'Loans to Cash Flows Wkst'!P$2)+SUMIFS('Loan Entry'!$W$23:$W$26,'Loan Entry'!$D$23:$D$26,$C$2,'Loan Entry'!$AB$23:$AB$26,"*Mar*",'Loan Entry'!$M$23:$M$26,'Loans to Cash Flows Wkst'!P$2)+SUMIFS('Loan Entry'!$W$31:$W$34,'Loan Entry'!$D$31:$D$34,$C$2,'Loan Entry'!$AB$31:$AB$34,"*Mar*",'Loan Entry'!$M$31:$M$34,'Loans to Cash Flows Wkst'!P$2)+SUMIFS('Loan Entry'!$W$47:$W$50,'Loan Entry'!$D$47:$D$50,$C$2,'Loan Entry'!$AB$47:$AB$50,"*Mar*",'Loan Entry'!$M$47:$M$50,'Loans to Cash Flows Wkst'!P$2)+SUMIFS('Loan Entry'!$W$55:$W$58,'Loan Entry'!$D$55:$D$58,$C$2,'Loan Entry'!$AB$55:$AB$58,"*Mar*",'Loan Entry'!$M$55:$M$58,'Loans to Cash Flows Wkst'!P$2)+SUMIFS('Loan Entry'!$W$39:$W$42,'Loan Entry'!$D$39:$D$42,$C$2,'Loan Entry'!$AB$39:$AB$42,"*Mar*",'Loan Entry'!$M$39:$M$42,'Loans to Cash Flows Wkst'!P$2)</f>
        <v>0</v>
      </c>
      <c r="Q5" s="764">
        <f>SUMIFS('Loan Entry'!$W$15:$W$18,'Loan Entry'!$D$15:$D$18,$C$2,'Loan Entry'!$AB$15:$AB$18,"*Mar*",'Loan Entry'!$M$15:$M$18,'Loans to Cash Flows Wkst'!Q$2)+SUMIFS('Loan Entry'!$W$23:$W$26,'Loan Entry'!$D$23:$D$26,$C$2,'Loan Entry'!$AB$23:$AB$26,"*Mar*",'Loan Entry'!$M$23:$M$26,'Loans to Cash Flows Wkst'!Q$2)+SUMIFS('Loan Entry'!$W$31:$W$34,'Loan Entry'!$D$31:$D$34,$C$2,'Loan Entry'!$AB$31:$AB$34,"*Mar*",'Loan Entry'!$M$31:$M$34,'Loans to Cash Flows Wkst'!Q$2)+SUMIFS('Loan Entry'!$W$47:$W$50,'Loan Entry'!$D$47:$D$50,$C$2,'Loan Entry'!$AB$47:$AB$50,"*Mar*",'Loan Entry'!$M$47:$M$50,'Loans to Cash Flows Wkst'!Q$2)+SUMIFS('Loan Entry'!$W$55:$W$58,'Loan Entry'!$D$55:$D$58,$C$2,'Loan Entry'!$AB$55:$AB$58,"*Mar*",'Loan Entry'!$M$55:$M$58,'Loans to Cash Flows Wkst'!Q$2)+SUMIFS('Loan Entry'!$W$39:$W$42,'Loan Entry'!$D$39:$D$42,$C$2,'Loan Entry'!$AB$39:$AB$42,"*Mar*",'Loan Entry'!$M$39:$M$42,'Loans to Cash Flows Wkst'!Q$2)</f>
        <v>0</v>
      </c>
    </row>
    <row r="6" spans="2:17" x14ac:dyDescent="0.2">
      <c r="B6" s="852" t="s">
        <v>189</v>
      </c>
      <c r="C6" s="858" t="s">
        <v>8</v>
      </c>
      <c r="D6" s="854">
        <f>SUM('Loans to Cash Flows Wkst'!$H6:$K6)</f>
        <v>0</v>
      </c>
      <c r="E6" s="765">
        <f>SUM('Loans to Cash Flows Wkst'!$N6:$Q6)</f>
        <v>0</v>
      </c>
      <c r="G6" s="852" t="s">
        <v>8</v>
      </c>
      <c r="H6" s="854">
        <f>SUMIFS('Loan Entry'!$V$15:$V$18,'Loan Entry'!$D$15:$D$18,$C$2,'Loan Entry'!$AB$15:$AB$18,$C6,'Loan Entry'!$M$15:$M$18,'Loans to Cash Flows Wkst'!H$2)+SUMIFS('Loan Entry'!$V$23:$V$26,'Loan Entry'!$D$23:$D$26,$C$2,'Loan Entry'!$AB$23:$AB$26,$C6,'Loan Entry'!$M$23:$M$26,'Loans to Cash Flows Wkst'!H$2)+SUMIFS('Loan Entry'!$V$31:$V$34,'Loan Entry'!$D$31:$D$34,$C$2,'Loan Entry'!$AB$31:$AB$34,$C6,'Loan Entry'!$M$31:$M$34,'Loans to Cash Flows Wkst'!H$2)+SUMIFS('Loan Entry'!$V$47:$V$50,'Loan Entry'!$D$47:$D$50,$C$2,'Loan Entry'!$AB$47:$AB$50,$C6,'Loan Entry'!$M$47:$M$50,'Loans to Cash Flows Wkst'!H$2) +SUMIFS('Loan Entry'!$V$55:$V$58,'Loan Entry'!$D$55:$D$58,$C$2,'Loan Entry'!$AB$55:$AB$58,$C6,'Loan Entry'!$M$55:$M$58,'Loans to Cash Flows Wkst'!H$2)+SUMIFS('Loan Entry'!$V$39:$V$42,'Loan Entry'!$D$39:$D$42,$C$2,'Loan Entry'!$AB$39:$AB$42,$C6,'Loan Entry'!$M$39:$M$42,'Loans to Cash Flows Wkst'!H$2)</f>
        <v>0</v>
      </c>
      <c r="I6" s="765">
        <f>SUMIFS('Loan Entry'!$V$15:$V$18,'Loan Entry'!$D$15:$D$18,$C$2,'Loan Entry'!$AB$15:$AB$18,"*Apr*",'Loan Entry'!$M$15:$M$18,'Loans to Cash Flows Wkst'!I$2)+SUMIFS('Loan Entry'!$V$23:$V$26,'Loan Entry'!$D$23:$D$26,$C$2,'Loan Entry'!$AB$23:$AB$26,"*Apr*",'Loan Entry'!$M$23:$M$26,'Loans to Cash Flows Wkst'!I$2)+SUMIFS('Loan Entry'!$V$31:$V$34,'Loan Entry'!$D$31:$D$34,$C$2,'Loan Entry'!$AB$31:$AB$34,"*Apr*",'Loan Entry'!$M$31:$M$34,'Loans to Cash Flows Wkst'!I$2)+SUMIFS('Loan Entry'!$V$47:$V$50,'Loan Entry'!$D$47:$D$50,$C$2,'Loan Entry'!$AB$47:$AB$50,"*Apr*",'Loan Entry'!$M$47:$M$50,'Loans to Cash Flows Wkst'!I$2)+SUMIFS('Loan Entry'!$V$55:$V$58,'Loan Entry'!$D$55:$D$58,$C$2,'Loan Entry'!$AB$55:$AB$58,"*Apr*",'Loan Entry'!$M$55:$M$58,'Loans to Cash Flows Wkst'!I$2)+SUMIFS('Loan Entry'!$V$39:$V$42,'Loan Entry'!$D$39:$D$42,$C$2,'Loan Entry'!$AB$39:$AB$42,"*Apr*",'Loan Entry'!$M$39:$M$42,'Loans to Cash Flows Wkst'!I$2)</f>
        <v>0</v>
      </c>
      <c r="J6" s="765">
        <f>SUMIFS('Loan Entry'!$V$15:$V$18,'Loan Entry'!$D$15:$D$18,$C$2,'Loan Entry'!$AB$15:$AB$18,"*Apr*",'Loan Entry'!$M$15:$M$18,'Loans to Cash Flows Wkst'!J$2)+SUMIFS('Loan Entry'!$V$23:$V$26,'Loan Entry'!$D$23:$D$26,$C$2,'Loan Entry'!$AB$23:$AB$26,"*Apr*",'Loan Entry'!$M$23:$M$26,'Loans to Cash Flows Wkst'!J$2)+SUMIFS('Loan Entry'!$V$31:$V$34,'Loan Entry'!$D$31:$D$34,$C$2,'Loan Entry'!$AB$31:$AB$34,"*Apr*",'Loan Entry'!$M$31:$M$34,'Loans to Cash Flows Wkst'!J$2)+SUMIFS('Loan Entry'!$V$47:$V$50,'Loan Entry'!$D$47:$D$50,$C$2,'Loan Entry'!$AB$47:$AB$50,"*Apr*",'Loan Entry'!$M$47:$M$50,'Loans to Cash Flows Wkst'!J$2) +SUMIFS('Loan Entry'!$V$55:$V$58,'Loan Entry'!$D$55:$D$58,$C$2,'Loan Entry'!$AB$55:$AB$58,"*Apr*",'Loan Entry'!$M$55:$M$58,'Loans to Cash Flows Wkst'!J$2)+SUMIFS('Loan Entry'!$V$39:$V$42,'Loan Entry'!$D$39:$D$42,$C$2,'Loan Entry'!$AB$39:$AB$42,"*Apr*",'Loan Entry'!$M$39:$M$42,'Loans to Cash Flows Wkst'!J$2)</f>
        <v>0</v>
      </c>
      <c r="K6" s="765">
        <f>SUMIFS('Loan Entry'!$V$15:$V$18,'Loan Entry'!$D$15:$D$18,$C$2,'Loan Entry'!$AB$15:$AB$18,"*Apr*",'Loan Entry'!$M$15:$M$18,'Loans to Cash Flows Wkst'!K$2)+SUMIFS('Loan Entry'!$V$23:$V$26,'Loan Entry'!$D$23:$D$26,$C$2,'Loan Entry'!$AB$23:$AB$26,"*Apr*",'Loan Entry'!$M$23:$M$26,'Loans to Cash Flows Wkst'!K$2)+SUMIFS('Loan Entry'!$V$31:$V$34,'Loan Entry'!$D$31:$D$34,$C$2,'Loan Entry'!$AB$31:$AB$34,"*Apr*",'Loan Entry'!$M$31:$M$34,'Loans to Cash Flows Wkst'!K$2)+SUMIFS('Loan Entry'!$V$47:$V$50,'Loan Entry'!$D$47:$D$50,$C$2,'Loan Entry'!$AB$47:$AB$50,"*Apr*",'Loan Entry'!$M$47:$M$50,'Loans to Cash Flows Wkst'!K$2) +SUMIFS('Loan Entry'!$V$55:$V$58,'Loan Entry'!$D$55:$D$58,$C$2,'Loan Entry'!$AB$55:$AB$58,"*Apr*",'Loan Entry'!$M$55:$M$58,'Loans to Cash Flows Wkst'!K$2)+SUMIFS('Loan Entry'!$V$39:$V$42,'Loan Entry'!$D$39:$D$42,$C$2,'Loan Entry'!$AB$39:$AB$42,"*Apr*",'Loan Entry'!$M$39:$M$42,'Loans to Cash Flows Wkst'!K$2)</f>
        <v>0</v>
      </c>
      <c r="M6" s="852" t="s">
        <v>8</v>
      </c>
      <c r="N6" s="765">
        <f>SUMIFS('Loan Entry'!$W$15:$W$18,'Loan Entry'!$D$15:$D$18,$C$2,'Loan Entry'!$AB$15:$AB$18,$C6,'Loan Entry'!$M$15:$M$18,'Loans to Cash Flows Wkst'!N$2)+SUMIFS('Loan Entry'!$W$23:$W$26,'Loan Entry'!$D$23:$D$26,$C$2,'Loan Entry'!$AB$23:$AB$26,$C6,'Loan Entry'!$M$23:$M$26,'Loans to Cash Flows Wkst'!N$2)+SUMIFS('Loan Entry'!$W$31:$W$34,'Loan Entry'!$D$31:$D$34,$C$2,'Loan Entry'!$AB$31:$AB$34,$C6,'Loan Entry'!$M$31:$M$34,'Loans to Cash Flows Wkst'!N$2)+SUMIFS('Loan Entry'!$W$47:$W$50,'Loan Entry'!$D$47:$D$50,$C$2,'Loan Entry'!$AB$47:$AB$50,$C6,'Loan Entry'!$M$47:$M$50,'Loans to Cash Flows Wkst'!N$2)+SUMIFS('Loan Entry'!$W$55:$W$58,'Loan Entry'!$D$55:$D$58,$C$2,'Loan Entry'!$AB$55:$AB$58,$C6,'Loan Entry'!$M$55:$M$58,'Loans to Cash Flows Wkst'!N$2)+SUMIFS('Loan Entry'!$W$39:$W$42,'Loan Entry'!$D$39:$D$42,$C$2,'Loan Entry'!$AB$39:$AB$42,$C6,'Loan Entry'!$M$39:$M$42,'Loans to Cash Flows Wkst'!N$2)</f>
        <v>0</v>
      </c>
      <c r="O6" s="765">
        <f>SUMIFS('Loan Entry'!$W$15:$W$18,'Loan Entry'!$D$15:$D$18,$C$2,'Loan Entry'!$AB$15:$AB$18,"*Apr*",'Loan Entry'!$M$15:$M$18,'Loans to Cash Flows Wkst'!O$2)+SUMIFS('Loan Entry'!$W$23:$W$26,'Loan Entry'!$D$23:$D$26,$C$2,'Loan Entry'!$AB$23:$AB$26,"*Apr*",'Loan Entry'!$M$23:$M$26,'Loans to Cash Flows Wkst'!O$2)+SUMIFS('Loan Entry'!$W$31:$W$34,'Loan Entry'!$D$31:$D$34,$C$2,'Loan Entry'!$AB$31:$AB$34,"*Apr*",'Loan Entry'!$M$31:$M$34,'Loans to Cash Flows Wkst'!O$2)+SUMIFS('Loan Entry'!$W$47:$W$50,'Loan Entry'!$D$47:$D$50,$C$2,'Loan Entry'!$AB$47:$AB$50,"*Apr*",'Loan Entry'!$M$47:$M$50,'Loans to Cash Flows Wkst'!O$2)+SUMIFS('Loan Entry'!$W$55:$W$58,'Loan Entry'!$D$55:$D$58,$C$2,'Loan Entry'!$AB$55:$AB$58,"*Apr*",'Loan Entry'!$M$55:$M$58,'Loans to Cash Flows Wkst'!O$2)+SUMIFS('Loan Entry'!$W$39:$W$42,'Loan Entry'!$D$39:$D$42,$C$2,'Loan Entry'!$AB$39:$AB$42,"*Apr*",'Loan Entry'!$M$39:$M$42,'Loans to Cash Flows Wkst'!O$2)</f>
        <v>0</v>
      </c>
      <c r="P6" s="765">
        <f>SUMIFS('Loan Entry'!$W$15:$W$18,'Loan Entry'!$D$15:$D$18,$C$2,'Loan Entry'!$AB$15:$AB$18,"*Apr*",'Loan Entry'!$M$15:$M$18,'Loans to Cash Flows Wkst'!P$2)+SUMIFS('Loan Entry'!$W$23:$W$26,'Loan Entry'!$D$23:$D$26,$C$2,'Loan Entry'!$AB$23:$AB$26,"*Apr*",'Loan Entry'!$M$23:$M$26,'Loans to Cash Flows Wkst'!P$2)+SUMIFS('Loan Entry'!$W$31:$W$34,'Loan Entry'!$D$31:$D$34,$C$2,'Loan Entry'!$AB$31:$AB$34,"*Apr*",'Loan Entry'!$M$31:$M$34,'Loans to Cash Flows Wkst'!P$2)+SUMIFS('Loan Entry'!$W$47:$W$50,'Loan Entry'!$D$47:$D$50,$C$2,'Loan Entry'!$AB$47:$AB$50,"*Apr*",'Loan Entry'!$M$47:$M$50,'Loans to Cash Flows Wkst'!P$2)+SUMIFS('Loan Entry'!$W$55:$W$58,'Loan Entry'!$D$55:$D$58,$C$2,'Loan Entry'!$AB$55:$AB$58,"*Apr*",'Loan Entry'!$M$55:$M$58,'Loans to Cash Flows Wkst'!P$2)+SUMIFS('Loan Entry'!$W$39:$W$42,'Loan Entry'!$D$39:$D$42,$C$2,'Loan Entry'!$AB$39:$AB$42,"*Apr*",'Loan Entry'!$M$39:$M$42,'Loans to Cash Flows Wkst'!P$2)</f>
        <v>0</v>
      </c>
      <c r="Q6" s="765">
        <f>SUMIFS('Loan Entry'!$W$15:$W$18,'Loan Entry'!$D$15:$D$18,$C$2,'Loan Entry'!$AB$15:$AB$18,"*Apr*",'Loan Entry'!$M$15:$M$18,'Loans to Cash Flows Wkst'!Q$2)+SUMIFS('Loan Entry'!$W$23:$W$26,'Loan Entry'!$D$23:$D$26,$C$2,'Loan Entry'!$AB$23:$AB$26,"*Apr*",'Loan Entry'!$M$23:$M$26,'Loans to Cash Flows Wkst'!Q$2)+SUMIFS('Loan Entry'!$W$31:$W$34,'Loan Entry'!$D$31:$D$34,$C$2,'Loan Entry'!$AB$31:$AB$34,"*Apr*",'Loan Entry'!$M$31:$M$34,'Loans to Cash Flows Wkst'!Q$2)+SUMIFS('Loan Entry'!$W$47:$W$50,'Loan Entry'!$D$47:$D$50,$C$2,'Loan Entry'!$AB$47:$AB$50,"*Apr*",'Loan Entry'!$M$47:$M$50,'Loans to Cash Flows Wkst'!Q$2)+SUMIFS('Loan Entry'!$W$55:$W$58,'Loan Entry'!$D$55:$D$58,$C$2,'Loan Entry'!$AB$55:$AB$58,"*Apr*",'Loan Entry'!$M$55:$M$58,'Loans to Cash Flows Wkst'!Q$2)+SUMIFS('Loan Entry'!$W$39:$W$42,'Loan Entry'!$D$39:$D$42,$C$2,'Loan Entry'!$AB$39:$AB$42,"*Apr*",'Loan Entry'!$M$39:$M$42,'Loans to Cash Flows Wkst'!Q$2)</f>
        <v>0</v>
      </c>
    </row>
    <row r="7" spans="2:17" x14ac:dyDescent="0.2">
      <c r="B7" s="855" t="s">
        <v>4</v>
      </c>
      <c r="C7" s="856" t="s">
        <v>4</v>
      </c>
      <c r="D7" s="857">
        <f>SUM('Loans to Cash Flows Wkst'!$H7:$K7)</f>
        <v>0</v>
      </c>
      <c r="E7" s="764">
        <f>SUM('Loans to Cash Flows Wkst'!$N7:$Q7)</f>
        <v>0</v>
      </c>
      <c r="G7" s="855" t="s">
        <v>4</v>
      </c>
      <c r="H7" s="857">
        <f>SUMIFS('Loan Entry'!$V$15:$V$18,'Loan Entry'!$D$15:$D$18,$C$2,'Loan Entry'!$AB$15:$AB$18,$C7,'Loan Entry'!$M$15:$M$18,'Loans to Cash Flows Wkst'!H$2)+SUMIFS('Loan Entry'!$V$23:$V$26,'Loan Entry'!$D$23:$D$26,$C$2,'Loan Entry'!$AB$23:$AB$26,$C7,'Loan Entry'!$M$23:$M$26,'Loans to Cash Flows Wkst'!H$2)+SUMIFS('Loan Entry'!$V$31:$V$34,'Loan Entry'!$D$31:$D$34,$C$2,'Loan Entry'!$AB$31:$AB$34,$C7,'Loan Entry'!$M$31:$M$34,'Loans to Cash Flows Wkst'!H$2)+SUMIFS('Loan Entry'!$V$47:$V$50,'Loan Entry'!$D$47:$D$50,$C$2,'Loan Entry'!$AB$47:$AB$50,$C7,'Loan Entry'!$M$47:$M$50,'Loans to Cash Flows Wkst'!H$2) +SUMIFS('Loan Entry'!$V$55:$V$58,'Loan Entry'!$D$55:$D$58,$C$2,'Loan Entry'!$AB$55:$AB$58,$C7,'Loan Entry'!$M$55:$M$58,'Loans to Cash Flows Wkst'!H$2)+SUMIFS('Loan Entry'!$V$39:$V$42,'Loan Entry'!$D$39:$D$42,$C$2,'Loan Entry'!$AB$39:$AB$42,$C7,'Loan Entry'!$M$39:$M$42,'Loans to Cash Flows Wkst'!H$2)</f>
        <v>0</v>
      </c>
      <c r="I7" s="764">
        <f>SUMIFS('Loan Entry'!$V$15:$V$18,'Loan Entry'!$D$15:$D$18,$C$2,'Loan Entry'!$AB$15:$AB$18,"*May*",'Loan Entry'!$M$15:$M$18,'Loans to Cash Flows Wkst'!I$2)+SUMIFS('Loan Entry'!$V$23:$V$26,'Loan Entry'!$D$23:$D$26,$C$2,'Loan Entry'!$AB$23:$AB$26,"*May*",'Loan Entry'!$M$23:$M$26,'Loans to Cash Flows Wkst'!I$2)+SUMIFS('Loan Entry'!$V$31:$V$34,'Loan Entry'!$D$31:$D$34,$C$2,'Loan Entry'!$AB$31:$AB$34,"*May*",'Loan Entry'!$M$31:$M$34,'Loans to Cash Flows Wkst'!I$2)+SUMIFS('Loan Entry'!$V$47:$V$50,'Loan Entry'!$D$47:$D$50,$C$2,'Loan Entry'!$AB$47:$AB$50,"*May*",'Loan Entry'!$M$47:$M$50,'Loans to Cash Flows Wkst'!I$2)+SUMIFS('Loan Entry'!$V$55:$V$58,'Loan Entry'!$D$55:$D$58,$C$2,'Loan Entry'!$AB$55:$AB$58,"*May*",'Loan Entry'!$M$55:$M$58,'Loans to Cash Flows Wkst'!I$2)+SUMIFS('Loan Entry'!$V$39:$V$42,'Loan Entry'!$D$39:$D$42,$C$2,'Loan Entry'!$AB$39:$AB$42,"*May*",'Loan Entry'!$M$39:$M$42,'Loans to Cash Flows Wkst'!I$2)</f>
        <v>0</v>
      </c>
      <c r="J7" s="764">
        <f>SUMIFS('Loan Entry'!$V$15:$V$18,'Loan Entry'!$D$15:$D$18,$C$2,'Loan Entry'!$AB$15:$AB$18,"*May*",'Loan Entry'!$M$15:$M$18,'Loans to Cash Flows Wkst'!J$2)+SUMIFS('Loan Entry'!$V$23:$V$26,'Loan Entry'!$D$23:$D$26,$C$2,'Loan Entry'!$AB$23:$AB$26,"*May*",'Loan Entry'!$M$23:$M$26,'Loans to Cash Flows Wkst'!J$2)+SUMIFS('Loan Entry'!$V$31:$V$34,'Loan Entry'!$D$31:$D$34,$C$2,'Loan Entry'!$AB$31:$AB$34,"*May*",'Loan Entry'!$M$31:$M$34,'Loans to Cash Flows Wkst'!J$2)+SUMIFS('Loan Entry'!$V$47:$V$50,'Loan Entry'!$D$47:$D$50,$C$2,'Loan Entry'!$AB$47:$AB$50,"*May*",'Loan Entry'!$M$47:$M$50,'Loans to Cash Flows Wkst'!J$2) +SUMIFS('Loan Entry'!$V$55:$V$58,'Loan Entry'!$D$55:$D$58,$C$2,'Loan Entry'!$AB$55:$AB$58,"*May*",'Loan Entry'!$M$55:$M$58,'Loans to Cash Flows Wkst'!J$2)+SUMIFS('Loan Entry'!$V$39:$V$42,'Loan Entry'!$D$39:$D$42,$C$2,'Loan Entry'!$AB$39:$AB$42,"*May*",'Loan Entry'!$M$39:$M$42,'Loans to Cash Flows Wkst'!J$2)</f>
        <v>0</v>
      </c>
      <c r="K7" s="764">
        <f>SUMIFS('Loan Entry'!$V$15:$V$18,'Loan Entry'!$D$15:$D$18,$C$2,'Loan Entry'!$AB$15:$AB$18,"*May*",'Loan Entry'!$M$15:$M$18,'Loans to Cash Flows Wkst'!K$2)+SUMIFS('Loan Entry'!$V$23:$V$26,'Loan Entry'!$D$23:$D$26,$C$2,'Loan Entry'!$AB$23:$AB$26,"*May*",'Loan Entry'!$M$23:$M$26,'Loans to Cash Flows Wkst'!K$2)+SUMIFS('Loan Entry'!$V$31:$V$34,'Loan Entry'!$D$31:$D$34,$C$2,'Loan Entry'!$AB$31:$AB$34,"*May*",'Loan Entry'!$M$31:$M$34,'Loans to Cash Flows Wkst'!K$2)+SUMIFS('Loan Entry'!$V$47:$V$50,'Loan Entry'!$D$47:$D$50,$C$2,'Loan Entry'!$AB$47:$AB$50,"*May*",'Loan Entry'!$M$47:$M$50,'Loans to Cash Flows Wkst'!K$2) +SUMIFS('Loan Entry'!$V$55:$V$58,'Loan Entry'!$D$55:$D$58,$C$2,'Loan Entry'!$AB$55:$AB$58,"*May*",'Loan Entry'!$M$55:$M$58,'Loans to Cash Flows Wkst'!K$2)+SUMIFS('Loan Entry'!$V$39:$V$42,'Loan Entry'!$D$39:$D$42,$C$2,'Loan Entry'!$AB$39:$AB$42,"*May*",'Loan Entry'!$M$39:$M$42,'Loans to Cash Flows Wkst'!K$2)</f>
        <v>0</v>
      </c>
      <c r="M7" s="855" t="s">
        <v>4</v>
      </c>
      <c r="N7" s="764">
        <f>SUMIFS('Loan Entry'!$W$15:$W$18,'Loan Entry'!$D$15:$D$18,$C$2,'Loan Entry'!$AB$15:$AB$18,$C7,'Loan Entry'!$M$15:$M$18,'Loans to Cash Flows Wkst'!N$2)+SUMIFS('Loan Entry'!$W$23:$W$26,'Loan Entry'!$D$23:$D$26,$C$2,'Loan Entry'!$AB$23:$AB$26,$C7,'Loan Entry'!$M$23:$M$26,'Loans to Cash Flows Wkst'!N$2)+SUMIFS('Loan Entry'!$W$31:$W$34,'Loan Entry'!$D$31:$D$34,$C$2,'Loan Entry'!$AB$31:$AB$34,$C7,'Loan Entry'!$M$31:$M$34,'Loans to Cash Flows Wkst'!N$2)+SUMIFS('Loan Entry'!$W$47:$W$50,'Loan Entry'!$D$47:$D$50,$C$2,'Loan Entry'!$AB$47:$AB$50,$C7,'Loan Entry'!$M$47:$M$50,'Loans to Cash Flows Wkst'!N$2)+SUMIFS('Loan Entry'!$W$55:$W$58,'Loan Entry'!$D$55:$D$58,$C$2,'Loan Entry'!$AB$55:$AB$58,$C7,'Loan Entry'!$M$55:$M$58,'Loans to Cash Flows Wkst'!N$2)+SUMIFS('Loan Entry'!$W$39:$W$42,'Loan Entry'!$D$39:$D$42,$C$2,'Loan Entry'!$AB$39:$AB$42,$C7,'Loan Entry'!$M$39:$M$42,'Loans to Cash Flows Wkst'!N$2)</f>
        <v>0</v>
      </c>
      <c r="O7" s="764">
        <f>SUMIFS('Loan Entry'!$W$15:$W$18,'Loan Entry'!$D$15:$D$18,$C$2,'Loan Entry'!$AB$15:$AB$18,"*May*",'Loan Entry'!$M$15:$M$18,'Loans to Cash Flows Wkst'!O$2)+SUMIFS('Loan Entry'!$W$23:$W$26,'Loan Entry'!$D$23:$D$26,$C$2,'Loan Entry'!$AB$23:$AB$26,"*May*",'Loan Entry'!$M$23:$M$26,'Loans to Cash Flows Wkst'!O$2)+SUMIFS('Loan Entry'!$W$31:$W$34,'Loan Entry'!$D$31:$D$34,$C$2,'Loan Entry'!$AB$31:$AB$34,"*May*",'Loan Entry'!$M$31:$M$34,'Loans to Cash Flows Wkst'!O$2)+SUMIFS('Loan Entry'!$W$47:$W$50,'Loan Entry'!$D$47:$D$50,$C$2,'Loan Entry'!$AB$47:$AB$50,"*May*",'Loan Entry'!$M$47:$M$50,'Loans to Cash Flows Wkst'!O$2)+SUMIFS('Loan Entry'!$W$55:$W$58,'Loan Entry'!$D$55:$D$58,$C$2,'Loan Entry'!$AB$55:$AB$58,"*May*",'Loan Entry'!$M$55:$M$58,'Loans to Cash Flows Wkst'!O$2)+SUMIFS('Loan Entry'!$W$39:$W$42,'Loan Entry'!$D$39:$D$42,$C$2,'Loan Entry'!$AB$39:$AB$42,"*May*",'Loan Entry'!$M$39:$M$42,'Loans to Cash Flows Wkst'!O$2)</f>
        <v>0</v>
      </c>
      <c r="P7" s="764">
        <f>SUMIFS('Loan Entry'!$W$15:$W$18,'Loan Entry'!$D$15:$D$18,$C$2,'Loan Entry'!$AB$15:$AB$18,"*May*",'Loan Entry'!$M$15:$M$18,'Loans to Cash Flows Wkst'!P$2)+SUMIFS('Loan Entry'!$W$23:$W$26,'Loan Entry'!$D$23:$D$26,$C$2,'Loan Entry'!$AB$23:$AB$26,"*May*",'Loan Entry'!$M$23:$M$26,'Loans to Cash Flows Wkst'!P$2)+SUMIFS('Loan Entry'!$W$31:$W$34,'Loan Entry'!$D$31:$D$34,$C$2,'Loan Entry'!$AB$31:$AB$34,"*May*",'Loan Entry'!$M$31:$M$34,'Loans to Cash Flows Wkst'!P$2)+SUMIFS('Loan Entry'!$W$47:$W$50,'Loan Entry'!$D$47:$D$50,$C$2,'Loan Entry'!$AB$47:$AB$50,"*May*",'Loan Entry'!$M$47:$M$50,'Loans to Cash Flows Wkst'!P$2)+SUMIFS('Loan Entry'!$W$55:$W$58,'Loan Entry'!$D$55:$D$58,$C$2,'Loan Entry'!$AB$55:$AB$58,"*May*",'Loan Entry'!$M$55:$M$58,'Loans to Cash Flows Wkst'!P$2)+SUMIFS('Loan Entry'!$W$39:$W$42,'Loan Entry'!$D$39:$D$42,$C$2,'Loan Entry'!$AB$39:$AB$42,"*May*",'Loan Entry'!$M$39:$M$42,'Loans to Cash Flows Wkst'!P$2)</f>
        <v>0</v>
      </c>
      <c r="Q7" s="764">
        <f>SUMIFS('Loan Entry'!$W$15:$W$18,'Loan Entry'!$D$15:$D$18,$C$2,'Loan Entry'!$AB$15:$AB$18,"*May*",'Loan Entry'!$M$15:$M$18,'Loans to Cash Flows Wkst'!Q$2)+SUMIFS('Loan Entry'!$W$23:$W$26,'Loan Entry'!$D$23:$D$26,$C$2,'Loan Entry'!$AB$23:$AB$26,"*May*",'Loan Entry'!$M$23:$M$26,'Loans to Cash Flows Wkst'!Q$2)+SUMIFS('Loan Entry'!$W$31:$W$34,'Loan Entry'!$D$31:$D$34,$C$2,'Loan Entry'!$AB$31:$AB$34,"*May*",'Loan Entry'!$M$31:$M$34,'Loans to Cash Flows Wkst'!Q$2)+SUMIFS('Loan Entry'!$W$47:$W$50,'Loan Entry'!$D$47:$D$50,$C$2,'Loan Entry'!$AB$47:$AB$50,"*May*",'Loan Entry'!$M$47:$M$50,'Loans to Cash Flows Wkst'!Q$2)+SUMIFS('Loan Entry'!$W$55:$W$58,'Loan Entry'!$D$55:$D$58,$C$2,'Loan Entry'!$AB$55:$AB$58,"*May*",'Loan Entry'!$M$55:$M$58,'Loans to Cash Flows Wkst'!Q$2)+SUMIFS('Loan Entry'!$W$39:$W$42,'Loan Entry'!$D$39:$D$42,$C$2,'Loan Entry'!$AB$39:$AB$42,"*May*",'Loan Entry'!$M$39:$M$42,'Loans to Cash Flows Wkst'!Q$2)</f>
        <v>0</v>
      </c>
    </row>
    <row r="8" spans="2:17" x14ac:dyDescent="0.2">
      <c r="B8" s="852" t="s">
        <v>190</v>
      </c>
      <c r="C8" s="858" t="s">
        <v>9</v>
      </c>
      <c r="D8" s="854">
        <f>SUM('Loans to Cash Flows Wkst'!$H8:$K8)</f>
        <v>0</v>
      </c>
      <c r="E8" s="765">
        <f>SUM('Loans to Cash Flows Wkst'!$N8:$Q8)</f>
        <v>0</v>
      </c>
      <c r="G8" s="852" t="s">
        <v>9</v>
      </c>
      <c r="H8" s="854">
        <f>SUMIFS('Loan Entry'!$V$15:$V$18,'Loan Entry'!$D$15:$D$18,$C$2,'Loan Entry'!$AB$15:$AB$18,$C8,'Loan Entry'!$M$15:$M$18,'Loans to Cash Flows Wkst'!H$2)+SUMIFS('Loan Entry'!$V$23:$V$26,'Loan Entry'!$D$23:$D$26,$C$2,'Loan Entry'!$AB$23:$AB$26,$C8,'Loan Entry'!$M$23:$M$26,'Loans to Cash Flows Wkst'!H$2)+SUMIFS('Loan Entry'!$V$31:$V$34,'Loan Entry'!$D$31:$D$34,$C$2,'Loan Entry'!$AB$31:$AB$34,$C8,'Loan Entry'!$M$31:$M$34,'Loans to Cash Flows Wkst'!H$2)+SUMIFS('Loan Entry'!$V$47:$V$50,'Loan Entry'!$D$47:$D$50,$C$2,'Loan Entry'!$AB$47:$AB$50,$C8,'Loan Entry'!$M$47:$M$50,'Loans to Cash Flows Wkst'!H$2) +SUMIFS('Loan Entry'!$V$55:$V$58,'Loan Entry'!$D$55:$D$58,$C$2,'Loan Entry'!$AB$55:$AB$58,$C8,'Loan Entry'!$M$55:$M$58,'Loans to Cash Flows Wkst'!H$2)+SUMIFS('Loan Entry'!$V$39:$V$42,'Loan Entry'!$D$39:$D$42,$C$2,'Loan Entry'!$AB$39:$AB$42,$C8,'Loan Entry'!$M$39:$M$42,'Loans to Cash Flows Wkst'!H$2)</f>
        <v>0</v>
      </c>
      <c r="I8" s="765">
        <f>SUMIFS('Loan Entry'!$V$15:$V$18,'Loan Entry'!$D$15:$D$18,$C$2,'Loan Entry'!$AB$15:$AB$18,"*Jun*",'Loan Entry'!$M$15:$M$18,'Loans to Cash Flows Wkst'!I$2)+SUMIFS('Loan Entry'!$V$23:$V$26,'Loan Entry'!$D$23:$D$26,$C$2,'Loan Entry'!$AB$23:$AB$26,"*Jun*",'Loan Entry'!$M$23:$M$26,'Loans to Cash Flows Wkst'!I$2)+SUMIFS('Loan Entry'!$V$31:$V$34,'Loan Entry'!$D$31:$D$34,$C$2,'Loan Entry'!$AB$31:$AB$34,"*Jun*",'Loan Entry'!$M$31:$M$34,'Loans to Cash Flows Wkst'!I$2)+SUMIFS('Loan Entry'!$V$47:$V$50,'Loan Entry'!$D$47:$D$50,$C$2,'Loan Entry'!$AB$47:$AB$50,"*Jun*",'Loan Entry'!$M$47:$M$50,'Loans to Cash Flows Wkst'!I$2)+SUMIFS('Loan Entry'!$V$55:$V$58,'Loan Entry'!$D$55:$D$58,$C$2,'Loan Entry'!$AB$55:$AB$58,"*Jun*",'Loan Entry'!$M$55:$M$58,'Loans to Cash Flows Wkst'!I$2)+SUMIFS('Loan Entry'!$V$39:$V$42,'Loan Entry'!$D$39:$D$42,$C$2,'Loan Entry'!$AB$39:$AB$42,"*Jun*",'Loan Entry'!$M$39:$M$42,'Loans to Cash Flows Wkst'!I$2)</f>
        <v>0</v>
      </c>
      <c r="J8" s="765">
        <f>SUMIFS('Loan Entry'!$V$15:$V$18,'Loan Entry'!$D$15:$D$18,$C$2,'Loan Entry'!$AB$15:$AB$18,"*Jun*",'Loan Entry'!$M$15:$M$18,'Loans to Cash Flows Wkst'!J$2)+SUMIFS('Loan Entry'!$V$23:$V$26,'Loan Entry'!$D$23:$D$26,$C$2,'Loan Entry'!$AB$23:$AB$26,"*Jun*",'Loan Entry'!$M$23:$M$26,'Loans to Cash Flows Wkst'!J$2)+SUMIFS('Loan Entry'!$V$31:$V$34,'Loan Entry'!$D$31:$D$34,$C$2,'Loan Entry'!$AB$31:$AB$34,"*Jun*",'Loan Entry'!$M$31:$M$34,'Loans to Cash Flows Wkst'!J$2)+SUMIFS('Loan Entry'!$V$47:$V$50,'Loan Entry'!$D$47:$D$50,$C$2,'Loan Entry'!$AB$47:$AB$50,"*Jun*",'Loan Entry'!$M$47:$M$50,'Loans to Cash Flows Wkst'!J$2) +SUMIFS('Loan Entry'!$V$55:$V$58,'Loan Entry'!$D$55:$D$58,$C$2,'Loan Entry'!$AB$55:$AB$58,"*Jun*",'Loan Entry'!$M$55:$M$58,'Loans to Cash Flows Wkst'!J$2)+SUMIFS('Loan Entry'!$V$39:$V$42,'Loan Entry'!$D$39:$D$42,$C$2,'Loan Entry'!$AB$39:$AB$42,"*Jun*",'Loan Entry'!$M$39:$M$42,'Loans to Cash Flows Wkst'!J$2)</f>
        <v>0</v>
      </c>
      <c r="K8" s="765">
        <f>SUMIFS('Loan Entry'!$V$15:$V$18,'Loan Entry'!$D$15:$D$18,$C$2,'Loan Entry'!$AB$15:$AB$18,"*Jun*",'Loan Entry'!$M$15:$M$18,'Loans to Cash Flows Wkst'!K$2)+SUMIFS('Loan Entry'!$V$23:$V$26,'Loan Entry'!$D$23:$D$26,$C$2,'Loan Entry'!$AB$23:$AB$26,"*Jun*",'Loan Entry'!$M$23:$M$26,'Loans to Cash Flows Wkst'!K$2)+SUMIFS('Loan Entry'!$V$31:$V$34,'Loan Entry'!$D$31:$D$34,$C$2,'Loan Entry'!$AB$31:$AB$34,"*Jun*",'Loan Entry'!$M$31:$M$34,'Loans to Cash Flows Wkst'!K$2)+SUMIFS('Loan Entry'!$V$47:$V$50,'Loan Entry'!$D$47:$D$50,$C$2,'Loan Entry'!$AB$47:$AB$50,"*Jun*",'Loan Entry'!$M$47:$M$50,'Loans to Cash Flows Wkst'!K$2) +SUMIFS('Loan Entry'!$V$55:$V$58,'Loan Entry'!$D$55:$D$58,$C$2,'Loan Entry'!$AB$55:$AB$58,"*Jun*",'Loan Entry'!$M$55:$M$58,'Loans to Cash Flows Wkst'!K$2)+SUMIFS('Loan Entry'!$V$39:$V$42,'Loan Entry'!$D$39:$D$42,$C$2,'Loan Entry'!$AB$39:$AB$42,"*Jun*",'Loan Entry'!$M$39:$M$42,'Loans to Cash Flows Wkst'!K$2)</f>
        <v>0</v>
      </c>
      <c r="M8" s="852" t="s">
        <v>9</v>
      </c>
      <c r="N8" s="765">
        <f>SUMIFS('Loan Entry'!$W$15:$W$18,'Loan Entry'!$D$15:$D$18,$C$2,'Loan Entry'!$AB$15:$AB$18,$C8,'Loan Entry'!$M$15:$M$18,'Loans to Cash Flows Wkst'!N$2)+SUMIFS('Loan Entry'!$W$23:$W$26,'Loan Entry'!$D$23:$D$26,$C$2,'Loan Entry'!$AB$23:$AB$26,$C8,'Loan Entry'!$M$23:$M$26,'Loans to Cash Flows Wkst'!N$2)+SUMIFS('Loan Entry'!$W$31:$W$34,'Loan Entry'!$D$31:$D$34,$C$2,'Loan Entry'!$AB$31:$AB$34,$C8,'Loan Entry'!$M$31:$M$34,'Loans to Cash Flows Wkst'!N$2)+SUMIFS('Loan Entry'!$W$47:$W$50,'Loan Entry'!$D$47:$D$50,$C$2,'Loan Entry'!$AB$47:$AB$50,$C8,'Loan Entry'!$M$47:$M$50,'Loans to Cash Flows Wkst'!N$2)+SUMIFS('Loan Entry'!$W$55:$W$58,'Loan Entry'!$D$55:$D$58,$C$2,'Loan Entry'!$AB$55:$AB$58,$C8,'Loan Entry'!$M$55:$M$58,'Loans to Cash Flows Wkst'!N$2)+SUMIFS('Loan Entry'!$W$39:$W$42,'Loan Entry'!$D$39:$D$42,$C$2,'Loan Entry'!$AB$39:$AB$42,$C8,'Loan Entry'!$M$39:$M$42,'Loans to Cash Flows Wkst'!N$2)</f>
        <v>0</v>
      </c>
      <c r="O8" s="765">
        <f>SUMIFS('Loan Entry'!$W$15:$W$18,'Loan Entry'!$D$15:$D$18,$C$2,'Loan Entry'!$AB$15:$AB$18,"*Jun*",'Loan Entry'!$M$15:$M$18,'Loans to Cash Flows Wkst'!O$2)+SUMIFS('Loan Entry'!$W$23:$W$26,'Loan Entry'!$D$23:$D$26,$C$2,'Loan Entry'!$AB$23:$AB$26,"*Jun*",'Loan Entry'!$M$23:$M$26,'Loans to Cash Flows Wkst'!O$2)+SUMIFS('Loan Entry'!$W$31:$W$34,'Loan Entry'!$D$31:$D$34,$C$2,'Loan Entry'!$AB$31:$AB$34,"*Jun*",'Loan Entry'!$M$31:$M$34,'Loans to Cash Flows Wkst'!O$2)+SUMIFS('Loan Entry'!$W$47:$W$50,'Loan Entry'!$D$47:$D$50,$C$2,'Loan Entry'!$AB$47:$AB$50,"*Jun*",'Loan Entry'!$M$47:$M$50,'Loans to Cash Flows Wkst'!O$2)+SUMIFS('Loan Entry'!$W$55:$W$58,'Loan Entry'!$D$55:$D$58,$C$2,'Loan Entry'!$AB$55:$AB$58,"*Jun*",'Loan Entry'!$M$55:$M$58,'Loans to Cash Flows Wkst'!O$2)+SUMIFS('Loan Entry'!$W$39:$W$42,'Loan Entry'!$D$39:$D$42,$C$2,'Loan Entry'!$AB$39:$AB$42,"*Jun*",'Loan Entry'!$M$39:$M$42,'Loans to Cash Flows Wkst'!O$2)</f>
        <v>0</v>
      </c>
      <c r="P8" s="765">
        <f>SUMIFS('Loan Entry'!$W$15:$W$18,'Loan Entry'!$D$15:$D$18,$C$2,'Loan Entry'!$AB$15:$AB$18,"*Jun*",'Loan Entry'!$M$15:$M$18,'Loans to Cash Flows Wkst'!P$2)+SUMIFS('Loan Entry'!$W$23:$W$26,'Loan Entry'!$D$23:$D$26,$C$2,'Loan Entry'!$AB$23:$AB$26,"*Jun*",'Loan Entry'!$M$23:$M$26,'Loans to Cash Flows Wkst'!P$2)+SUMIFS('Loan Entry'!$W$31:$W$34,'Loan Entry'!$D$31:$D$34,$C$2,'Loan Entry'!$AB$31:$AB$34,"*Jun*",'Loan Entry'!$M$31:$M$34,'Loans to Cash Flows Wkst'!P$2)+SUMIFS('Loan Entry'!$W$47:$W$50,'Loan Entry'!$D$47:$D$50,$C$2,'Loan Entry'!$AB$47:$AB$50,"*Jun*",'Loan Entry'!$M$47:$M$50,'Loans to Cash Flows Wkst'!P$2)+SUMIFS('Loan Entry'!$W$55:$W$58,'Loan Entry'!$D$55:$D$58,$C$2,'Loan Entry'!$AB$55:$AB$58,"*Jun*",'Loan Entry'!$M$55:$M$58,'Loans to Cash Flows Wkst'!P$2)+SUMIFS('Loan Entry'!$W$39:$W$42,'Loan Entry'!$D$39:$D$42,$C$2,'Loan Entry'!$AB$39:$AB$42,"*Jun*",'Loan Entry'!$M$39:$M$42,'Loans to Cash Flows Wkst'!P$2)</f>
        <v>0</v>
      </c>
      <c r="Q8" s="765">
        <f>SUMIFS('Loan Entry'!$W$15:$W$18,'Loan Entry'!$D$15:$D$18,$C$2,'Loan Entry'!$AB$15:$AB$18,"*Jun*",'Loan Entry'!$M$15:$M$18,'Loans to Cash Flows Wkst'!Q$2)+SUMIFS('Loan Entry'!$W$23:$W$26,'Loan Entry'!$D$23:$D$26,$C$2,'Loan Entry'!$AB$23:$AB$26,"*Jun*",'Loan Entry'!$M$23:$M$26,'Loans to Cash Flows Wkst'!Q$2)+SUMIFS('Loan Entry'!$W$31:$W$34,'Loan Entry'!$D$31:$D$34,$C$2,'Loan Entry'!$AB$31:$AB$34,"*Jun*",'Loan Entry'!$M$31:$M$34,'Loans to Cash Flows Wkst'!Q$2)+SUMIFS('Loan Entry'!$W$47:$W$50,'Loan Entry'!$D$47:$D$50,$C$2,'Loan Entry'!$AB$47:$AB$50,"*Jun*",'Loan Entry'!$M$47:$M$50,'Loans to Cash Flows Wkst'!Q$2)+SUMIFS('Loan Entry'!$W$55:$W$58,'Loan Entry'!$D$55:$D$58,$C$2,'Loan Entry'!$AB$55:$AB$58,"*Jun*",'Loan Entry'!$M$55:$M$58,'Loans to Cash Flows Wkst'!Q$2)+SUMIFS('Loan Entry'!$W$39:$W$42,'Loan Entry'!$D$39:$D$42,$C$2,'Loan Entry'!$AB$39:$AB$42,"*Jun*",'Loan Entry'!$M$39:$M$42,'Loans to Cash Flows Wkst'!Q$2)</f>
        <v>0</v>
      </c>
    </row>
    <row r="9" spans="2:17" x14ac:dyDescent="0.2">
      <c r="B9" s="855" t="s">
        <v>191</v>
      </c>
      <c r="C9" s="856" t="s">
        <v>10</v>
      </c>
      <c r="D9" s="857">
        <f>SUM('Loans to Cash Flows Wkst'!$H9:$K9)</f>
        <v>0</v>
      </c>
      <c r="E9" s="764">
        <f>SUM('Loans to Cash Flows Wkst'!$N9:$Q9)</f>
        <v>0</v>
      </c>
      <c r="G9" s="855" t="s">
        <v>10</v>
      </c>
      <c r="H9" s="857">
        <f>SUMIFS('Loan Entry'!$V$15:$V$18,'Loan Entry'!$D$15:$D$18,$C$2,'Loan Entry'!$AB$15:$AB$18,$C9,'Loan Entry'!$M$15:$M$18,'Loans to Cash Flows Wkst'!H$2)+SUMIFS('Loan Entry'!$V$23:$V$26,'Loan Entry'!$D$23:$D$26,$C$2,'Loan Entry'!$AB$23:$AB$26,$C9,'Loan Entry'!$M$23:$M$26,'Loans to Cash Flows Wkst'!H$2)+SUMIFS('Loan Entry'!$V$31:$V$34,'Loan Entry'!$D$31:$D$34,$C$2,'Loan Entry'!$AB$31:$AB$34,$C9,'Loan Entry'!$M$31:$M$34,'Loans to Cash Flows Wkst'!H$2)+SUMIFS('Loan Entry'!$V$47:$V$50,'Loan Entry'!$D$47:$D$50,$C$2,'Loan Entry'!$AB$47:$AB$50,$C9,'Loan Entry'!$M$47:$M$50,'Loans to Cash Flows Wkst'!H$2) +SUMIFS('Loan Entry'!$V$55:$V$58,'Loan Entry'!$D$55:$D$58,$C$2,'Loan Entry'!$AB$55:$AB$58,$C9,'Loan Entry'!$M$55:$M$58,'Loans to Cash Flows Wkst'!H$2)+SUMIFS('Loan Entry'!$V$39:$V$42,'Loan Entry'!$D$39:$D$42,$C$2,'Loan Entry'!$AB$39:$AB$42,$C9,'Loan Entry'!$M$39:$M$42,'Loans to Cash Flows Wkst'!H$2)</f>
        <v>0</v>
      </c>
      <c r="I9" s="764">
        <f>SUMIFS('Loan Entry'!$V$15:$V$18,'Loan Entry'!$D$15:$D$18,$C$2,'Loan Entry'!$AB$15:$AB$18,"*Jul*",'Loan Entry'!$M$15:$M$18,'Loans to Cash Flows Wkst'!I$2)+SUMIFS('Loan Entry'!$V$23:$V$26,'Loan Entry'!$D$23:$D$26,$C$2,'Loan Entry'!$AB$23:$AB$26,"*Jul*",'Loan Entry'!$M$23:$M$26,'Loans to Cash Flows Wkst'!I$2)+SUMIFS('Loan Entry'!$V$31:$V$34,'Loan Entry'!$D$31:$D$34,$C$2,'Loan Entry'!$AB$31:$AB$34,"*Jul*",'Loan Entry'!$M$31:$M$34,'Loans to Cash Flows Wkst'!I$2)+SUMIFS('Loan Entry'!$V$47:$V$50,'Loan Entry'!$D$47:$D$50,$C$2,'Loan Entry'!$AB$47:$AB$50,"*Jul*",'Loan Entry'!$M$47:$M$50,'Loans to Cash Flows Wkst'!I$2)+SUMIFS('Loan Entry'!$V$55:$V$58,'Loan Entry'!$D$55:$D$58,$C$2,'Loan Entry'!$AB$55:$AB$58,"*Jul*",'Loan Entry'!$M$55:$M$58,'Loans to Cash Flows Wkst'!I$2)+SUMIFS('Loan Entry'!$V$39:$V$42,'Loan Entry'!$D$39:$D$42,$C$2,'Loan Entry'!$AB$39:$AB$42,"*Jul*",'Loan Entry'!$M$39:$M$42,'Loans to Cash Flows Wkst'!I$2)</f>
        <v>0</v>
      </c>
      <c r="J9" s="764">
        <f>SUMIFS('Loan Entry'!$V$15:$V$18,'Loan Entry'!$D$15:$D$18,$C$2,'Loan Entry'!$AB$15:$AB$18,"*Jul*",'Loan Entry'!$M$15:$M$18,'Loans to Cash Flows Wkst'!J$2)+SUMIFS('Loan Entry'!$V$23:$V$26,'Loan Entry'!$D$23:$D$26,$C$2,'Loan Entry'!$AB$23:$AB$26,"*Jul*",'Loan Entry'!$M$23:$M$26,'Loans to Cash Flows Wkst'!J$2)+SUMIFS('Loan Entry'!$V$31:$V$34,'Loan Entry'!$D$31:$D$34,$C$2,'Loan Entry'!$AB$31:$AB$34,"*Jul*",'Loan Entry'!$M$31:$M$34,'Loans to Cash Flows Wkst'!J$2)+SUMIFS('Loan Entry'!$V$47:$V$50,'Loan Entry'!$D$47:$D$50,$C$2,'Loan Entry'!$AB$47:$AB$50,"*Jul*",'Loan Entry'!$M$47:$M$50,'Loans to Cash Flows Wkst'!J$2) +SUMIFS('Loan Entry'!$V$55:$V$58,'Loan Entry'!$D$55:$D$58,$C$2,'Loan Entry'!$AB$55:$AB$58,"*Jul*",'Loan Entry'!$M$55:$M$58,'Loans to Cash Flows Wkst'!J$2)+SUMIFS('Loan Entry'!$V$39:$V$42,'Loan Entry'!$D$39:$D$42,$C$2,'Loan Entry'!$AB$39:$AB$42,"*Jul*",'Loan Entry'!$M$39:$M$42,'Loans to Cash Flows Wkst'!J$2)</f>
        <v>0</v>
      </c>
      <c r="K9" s="764">
        <f>SUMIFS('Loan Entry'!$V$15:$V$18,'Loan Entry'!$D$15:$D$18,$C$2,'Loan Entry'!$AB$15:$AB$18,"*Jul*",'Loan Entry'!$M$15:$M$18,'Loans to Cash Flows Wkst'!K$2)+SUMIFS('Loan Entry'!$V$23:$V$26,'Loan Entry'!$D$23:$D$26,$C$2,'Loan Entry'!$AB$23:$AB$26,"*Jul*",'Loan Entry'!$M$23:$M$26,'Loans to Cash Flows Wkst'!K$2)+SUMIFS('Loan Entry'!$V$31:$V$34,'Loan Entry'!$D$31:$D$34,$C$2,'Loan Entry'!$AB$31:$AB$34,"*Jul*",'Loan Entry'!$M$31:$M$34,'Loans to Cash Flows Wkst'!K$2)+SUMIFS('Loan Entry'!$V$47:$V$50,'Loan Entry'!$D$47:$D$50,$C$2,'Loan Entry'!$AB$47:$AB$50,"*Jul*",'Loan Entry'!$M$47:$M$50,'Loans to Cash Flows Wkst'!K$2) +SUMIFS('Loan Entry'!$V$55:$V$58,'Loan Entry'!$D$55:$D$58,$C$2,'Loan Entry'!$AB$55:$AB$58,"*Jul*",'Loan Entry'!$M$55:$M$58,'Loans to Cash Flows Wkst'!K$2)+SUMIFS('Loan Entry'!$V$39:$V$42,'Loan Entry'!$D$39:$D$42,$C$2,'Loan Entry'!$AB$39:$AB$42,"*Jul*",'Loan Entry'!$M$39:$M$42,'Loans to Cash Flows Wkst'!K$2)</f>
        <v>0</v>
      </c>
      <c r="M9" s="855" t="s">
        <v>10</v>
      </c>
      <c r="N9" s="764">
        <f>SUMIFS('Loan Entry'!$W$15:$W$18,'Loan Entry'!$D$15:$D$18,$C$2,'Loan Entry'!$AB$15:$AB$18,$C9,'Loan Entry'!$M$15:$M$18,'Loans to Cash Flows Wkst'!N$2)+SUMIFS('Loan Entry'!$W$23:$W$26,'Loan Entry'!$D$23:$D$26,$C$2,'Loan Entry'!$AB$23:$AB$26,$C9,'Loan Entry'!$M$23:$M$26,'Loans to Cash Flows Wkst'!N$2)+SUMIFS('Loan Entry'!$W$31:$W$34,'Loan Entry'!$D$31:$D$34,$C$2,'Loan Entry'!$AB$31:$AB$34,$C9,'Loan Entry'!$M$31:$M$34,'Loans to Cash Flows Wkst'!N$2)+SUMIFS('Loan Entry'!$W$47:$W$50,'Loan Entry'!$D$47:$D$50,$C$2,'Loan Entry'!$AB$47:$AB$50,$C9,'Loan Entry'!$M$47:$M$50,'Loans to Cash Flows Wkst'!N$2)+SUMIFS('Loan Entry'!$W$55:$W$58,'Loan Entry'!$D$55:$D$58,$C$2,'Loan Entry'!$AB$55:$AB$58,$C9,'Loan Entry'!$M$55:$M$58,'Loans to Cash Flows Wkst'!N$2)+SUMIFS('Loan Entry'!$W$39:$W$42,'Loan Entry'!$D$39:$D$42,$C$2,'Loan Entry'!$AB$39:$AB$42,$C9,'Loan Entry'!$M$39:$M$42,'Loans to Cash Flows Wkst'!N$2)</f>
        <v>0</v>
      </c>
      <c r="O9" s="764">
        <f>SUMIFS('Loan Entry'!$W$15:$W$18,'Loan Entry'!$D$15:$D$18,$C$2,'Loan Entry'!$AB$15:$AB$18,"*Jul*",'Loan Entry'!$M$15:$M$18,'Loans to Cash Flows Wkst'!O$2)+SUMIFS('Loan Entry'!$W$23:$W$26,'Loan Entry'!$D$23:$D$26,$C$2,'Loan Entry'!$AB$23:$AB$26,"*Jul*",'Loan Entry'!$M$23:$M$26,'Loans to Cash Flows Wkst'!O$2)+SUMIFS('Loan Entry'!$W$31:$W$34,'Loan Entry'!$D$31:$D$34,$C$2,'Loan Entry'!$AB$31:$AB$34,"*Jul*",'Loan Entry'!$M$31:$M$34,'Loans to Cash Flows Wkst'!O$2)+SUMIFS('Loan Entry'!$W$47:$W$50,'Loan Entry'!$D$47:$D$50,$C$2,'Loan Entry'!$AB$47:$AB$50,"*Jul*",'Loan Entry'!$M$47:$M$50,'Loans to Cash Flows Wkst'!O$2)+SUMIFS('Loan Entry'!$W$55:$W$58,'Loan Entry'!$D$55:$D$58,$C$2,'Loan Entry'!$AB$55:$AB$58,"*Jul*",'Loan Entry'!$M$55:$M$58,'Loans to Cash Flows Wkst'!O$2)+SUMIFS('Loan Entry'!$W$39:$W$42,'Loan Entry'!$D$39:$D$42,$C$2,'Loan Entry'!$AB$39:$AB$42,"*Jul*",'Loan Entry'!$M$39:$M$42,'Loans to Cash Flows Wkst'!O$2)</f>
        <v>0</v>
      </c>
      <c r="P9" s="764">
        <f>SUMIFS('Loan Entry'!$W$15:$W$18,'Loan Entry'!$D$15:$D$18,$C$2,'Loan Entry'!$AB$15:$AB$18,"*Jul*",'Loan Entry'!$M$15:$M$18,'Loans to Cash Flows Wkst'!P$2)+SUMIFS('Loan Entry'!$W$23:$W$26,'Loan Entry'!$D$23:$D$26,$C$2,'Loan Entry'!$AB$23:$AB$26,"*Jul*",'Loan Entry'!$M$23:$M$26,'Loans to Cash Flows Wkst'!P$2)+SUMIFS('Loan Entry'!$W$31:$W$34,'Loan Entry'!$D$31:$D$34,$C$2,'Loan Entry'!$AB$31:$AB$34,"*Jul*",'Loan Entry'!$M$31:$M$34,'Loans to Cash Flows Wkst'!P$2)+SUMIFS('Loan Entry'!$W$47:$W$50,'Loan Entry'!$D$47:$D$50,$C$2,'Loan Entry'!$AB$47:$AB$50,"*Jul*",'Loan Entry'!$M$47:$M$50,'Loans to Cash Flows Wkst'!P$2)+SUMIFS('Loan Entry'!$W$55:$W$58,'Loan Entry'!$D$55:$D$58,$C$2,'Loan Entry'!$AB$55:$AB$58,"*Jul*",'Loan Entry'!$M$55:$M$58,'Loans to Cash Flows Wkst'!P$2)+SUMIFS('Loan Entry'!$W$39:$W$42,'Loan Entry'!$D$39:$D$42,$C$2,'Loan Entry'!$AB$39:$AB$42,"*Jul*",'Loan Entry'!$M$39:$M$42,'Loans to Cash Flows Wkst'!P$2)</f>
        <v>0</v>
      </c>
      <c r="Q9" s="764">
        <f>SUMIFS('Loan Entry'!$W$15:$W$18,'Loan Entry'!$D$15:$D$18,$C$2,'Loan Entry'!$AB$15:$AB$18,"*Jul*",'Loan Entry'!$M$15:$M$18,'Loans to Cash Flows Wkst'!Q$2)+SUMIFS('Loan Entry'!$W$23:$W$26,'Loan Entry'!$D$23:$D$26,$C$2,'Loan Entry'!$AB$23:$AB$26,"*Jul*",'Loan Entry'!$M$23:$M$26,'Loans to Cash Flows Wkst'!Q$2)+SUMIFS('Loan Entry'!$W$31:$W$34,'Loan Entry'!$D$31:$D$34,$C$2,'Loan Entry'!$AB$31:$AB$34,"*Jul*",'Loan Entry'!$M$31:$M$34,'Loans to Cash Flows Wkst'!Q$2)+SUMIFS('Loan Entry'!$W$47:$W$50,'Loan Entry'!$D$47:$D$50,$C$2,'Loan Entry'!$AB$47:$AB$50,"*Jul*",'Loan Entry'!$M$47:$M$50,'Loans to Cash Flows Wkst'!Q$2)+SUMIFS('Loan Entry'!$W$55:$W$58,'Loan Entry'!$D$55:$D$58,$C$2,'Loan Entry'!$AB$55:$AB$58,"*Jul*",'Loan Entry'!$M$55:$M$58,'Loans to Cash Flows Wkst'!Q$2)+SUMIFS('Loan Entry'!$W$39:$W$42,'Loan Entry'!$D$39:$D$42,$C$2,'Loan Entry'!$AB$39:$AB$42,"*Jul*",'Loan Entry'!$M$39:$M$42,'Loans to Cash Flows Wkst'!Q$2)</f>
        <v>0</v>
      </c>
    </row>
    <row r="10" spans="2:17" x14ac:dyDescent="0.2">
      <c r="B10" s="852" t="s">
        <v>192</v>
      </c>
      <c r="C10" s="858" t="s">
        <v>11</v>
      </c>
      <c r="D10" s="854">
        <f>SUM('Loans to Cash Flows Wkst'!$H10:$K10)</f>
        <v>0</v>
      </c>
      <c r="E10" s="765">
        <f>SUM('Loans to Cash Flows Wkst'!$N10:$Q10)</f>
        <v>0</v>
      </c>
      <c r="G10" s="852" t="s">
        <v>11</v>
      </c>
      <c r="H10" s="854">
        <f>SUMIFS('Loan Entry'!$V$15:$V$18,'Loan Entry'!$D$15:$D$18,$C$2,'Loan Entry'!$AB$15:$AB$18,$C10,'Loan Entry'!$M$15:$M$18,'Loans to Cash Flows Wkst'!H$2)+SUMIFS('Loan Entry'!$V$23:$V$26,'Loan Entry'!$D$23:$D$26,$C$2,'Loan Entry'!$AB$23:$AB$26,$C10,'Loan Entry'!$M$23:$M$26,'Loans to Cash Flows Wkst'!H$2)+SUMIFS('Loan Entry'!$V$31:$V$34,'Loan Entry'!$D$31:$D$34,$C$2,'Loan Entry'!$AB$31:$AB$34,$C10,'Loan Entry'!$M$31:$M$34,'Loans to Cash Flows Wkst'!H$2)+SUMIFS('Loan Entry'!$V$47:$V$50,'Loan Entry'!$D$47:$D$50,$C$2,'Loan Entry'!$AB$47:$AB$50,$C10,'Loan Entry'!$M$47:$M$50,'Loans to Cash Flows Wkst'!H$2) +SUMIFS('Loan Entry'!$V$55:$V$58,'Loan Entry'!$D$55:$D$58,$C$2,'Loan Entry'!$AB$55:$AB$58,$C10,'Loan Entry'!$M$55:$M$58,'Loans to Cash Flows Wkst'!H$2)+SUMIFS('Loan Entry'!$V$39:$V$42,'Loan Entry'!$D$39:$D$42,$C$2,'Loan Entry'!$AB$39:$AB$42,$C10,'Loan Entry'!$M$39:$M$42,'Loans to Cash Flows Wkst'!H$2)</f>
        <v>0</v>
      </c>
      <c r="I10" s="765">
        <f>SUMIFS('Loan Entry'!$V$15:$V$18,'Loan Entry'!$D$15:$D$18,$C$2,'Loan Entry'!$AB$15:$AB$18,"*Aug*",'Loan Entry'!$M$15:$M$18,'Loans to Cash Flows Wkst'!I$2)+SUMIFS('Loan Entry'!$V$23:$V$26,'Loan Entry'!$D$23:$D$26,$C$2,'Loan Entry'!$AB$23:$AB$26,"*Aug*",'Loan Entry'!$M$23:$M$26,'Loans to Cash Flows Wkst'!I$2)+SUMIFS('Loan Entry'!$V$31:$V$34,'Loan Entry'!$D$31:$D$34,$C$2,'Loan Entry'!$AB$31:$AB$34,"*Aug*",'Loan Entry'!$M$31:$M$34,'Loans to Cash Flows Wkst'!I$2)+SUMIFS('Loan Entry'!$V$47:$V$50,'Loan Entry'!$D$47:$D$50,$C$2,'Loan Entry'!$AB$47:$AB$50,"*Aug*",'Loan Entry'!$M$47:$M$50,'Loans to Cash Flows Wkst'!I$2)+SUMIFS('Loan Entry'!$V$55:$V$58,'Loan Entry'!$D$55:$D$58,$C$2,'Loan Entry'!$AB$55:$AB$58,"*Aug*",'Loan Entry'!$M$55:$M$58,'Loans to Cash Flows Wkst'!I$2)+SUMIFS('Loan Entry'!$V$39:$V$42,'Loan Entry'!$D$39:$D$42,$C$2,'Loan Entry'!$AB$39:$AB$42,"*Aug*",'Loan Entry'!$M$39:$M$42,'Loans to Cash Flows Wkst'!I$2)</f>
        <v>0</v>
      </c>
      <c r="J10" s="765">
        <f>SUMIFS('Loan Entry'!$V$15:$V$18,'Loan Entry'!$D$15:$D$18,$C$2,'Loan Entry'!$AB$15:$AB$18,"*Aug*",'Loan Entry'!$M$15:$M$18,'Loans to Cash Flows Wkst'!J$2)+SUMIFS('Loan Entry'!$V$23:$V$26,'Loan Entry'!$D$23:$D$26,$C$2,'Loan Entry'!$AB$23:$AB$26,"*Aug*",'Loan Entry'!$M$23:$M$26,'Loans to Cash Flows Wkst'!J$2)+SUMIFS('Loan Entry'!$V$31:$V$34,'Loan Entry'!$D$31:$D$34,$C$2,'Loan Entry'!$AB$31:$AB$34,"*Aug*",'Loan Entry'!$M$31:$M$34,'Loans to Cash Flows Wkst'!J$2)+SUMIFS('Loan Entry'!$V$47:$V$50,'Loan Entry'!$D$47:$D$50,$C$2,'Loan Entry'!$AB$47:$AB$50,"*Aug*",'Loan Entry'!$M$47:$M$50,'Loans to Cash Flows Wkst'!J$2) +SUMIFS('Loan Entry'!$V$55:$V$58,'Loan Entry'!$D$55:$D$58,$C$2,'Loan Entry'!$AB$55:$AB$58,"*Aug*",'Loan Entry'!$M$55:$M$58,'Loans to Cash Flows Wkst'!J$2)+SUMIFS('Loan Entry'!$V$39:$V$42,'Loan Entry'!$D$39:$D$42,$C$2,'Loan Entry'!$AB$39:$AB$42,"*Aug*",'Loan Entry'!$M$39:$M$42,'Loans to Cash Flows Wkst'!J$2)</f>
        <v>0</v>
      </c>
      <c r="K10" s="765">
        <f>SUMIFS('Loan Entry'!$V$15:$V$18,'Loan Entry'!$D$15:$D$18,$C$2,'Loan Entry'!$AB$15:$AB$18,"*Aug*",'Loan Entry'!$M$15:$M$18,'Loans to Cash Flows Wkst'!K$2)+SUMIFS('Loan Entry'!$V$23:$V$26,'Loan Entry'!$D$23:$D$26,$C$2,'Loan Entry'!$AB$23:$AB$26,"*Aug*",'Loan Entry'!$M$23:$M$26,'Loans to Cash Flows Wkst'!K$2)+SUMIFS('Loan Entry'!$V$31:$V$34,'Loan Entry'!$D$31:$D$34,$C$2,'Loan Entry'!$AB$31:$AB$34,"*Aug*",'Loan Entry'!$M$31:$M$34,'Loans to Cash Flows Wkst'!K$2)+SUMIFS('Loan Entry'!$V$47:$V$50,'Loan Entry'!$D$47:$D$50,$C$2,'Loan Entry'!$AB$47:$AB$50,"*Aug*",'Loan Entry'!$M$47:$M$50,'Loans to Cash Flows Wkst'!K$2) +SUMIFS('Loan Entry'!$V$55:$V$58,'Loan Entry'!$D$55:$D$58,$C$2,'Loan Entry'!$AB$55:$AB$58,"*Aug*",'Loan Entry'!$M$55:$M$58,'Loans to Cash Flows Wkst'!K$2)+SUMIFS('Loan Entry'!$V$39:$V$42,'Loan Entry'!$D$39:$D$42,$C$2,'Loan Entry'!$AB$39:$AB$42,"*Aug*",'Loan Entry'!$M$39:$M$42,'Loans to Cash Flows Wkst'!K$2)</f>
        <v>0</v>
      </c>
      <c r="M10" s="852" t="s">
        <v>11</v>
      </c>
      <c r="N10" s="765">
        <f>SUMIFS('Loan Entry'!$W$15:$W$18,'Loan Entry'!$D$15:$D$18,$C$2,'Loan Entry'!$AB$15:$AB$18,$C10,'Loan Entry'!$M$15:$M$18,'Loans to Cash Flows Wkst'!N$2)+SUMIFS('Loan Entry'!$W$23:$W$26,'Loan Entry'!$D$23:$D$26,$C$2,'Loan Entry'!$AB$23:$AB$26,$C10,'Loan Entry'!$M$23:$M$26,'Loans to Cash Flows Wkst'!N$2)+SUMIFS('Loan Entry'!$W$31:$W$34,'Loan Entry'!$D$31:$D$34,$C$2,'Loan Entry'!$AB$31:$AB$34,$C10,'Loan Entry'!$M$31:$M$34,'Loans to Cash Flows Wkst'!N$2)+SUMIFS('Loan Entry'!$W$47:$W$50,'Loan Entry'!$D$47:$D$50,$C$2,'Loan Entry'!$AB$47:$AB$50,$C10,'Loan Entry'!$M$47:$M$50,'Loans to Cash Flows Wkst'!N$2)+SUMIFS('Loan Entry'!$W$55:$W$58,'Loan Entry'!$D$55:$D$58,$C$2,'Loan Entry'!$AB$55:$AB$58,$C10,'Loan Entry'!$M$55:$M$58,'Loans to Cash Flows Wkst'!N$2)+SUMIFS('Loan Entry'!$W$39:$W$42,'Loan Entry'!$D$39:$D$42,$C$2,'Loan Entry'!$AB$39:$AB$42,$C10,'Loan Entry'!$M$39:$M$42,'Loans to Cash Flows Wkst'!N$2)</f>
        <v>0</v>
      </c>
      <c r="O10" s="765">
        <f>SUMIFS('Loan Entry'!$W$15:$W$18,'Loan Entry'!$D$15:$D$18,$C$2,'Loan Entry'!$AB$15:$AB$18,"*Aug*",'Loan Entry'!$M$15:$M$18,'Loans to Cash Flows Wkst'!O$2)+SUMIFS('Loan Entry'!$W$23:$W$26,'Loan Entry'!$D$23:$D$26,$C$2,'Loan Entry'!$AB$23:$AB$26,"*Aug*",'Loan Entry'!$M$23:$M$26,'Loans to Cash Flows Wkst'!O$2)+SUMIFS('Loan Entry'!$W$31:$W$34,'Loan Entry'!$D$31:$D$34,$C$2,'Loan Entry'!$AB$31:$AB$34,"*Aug*",'Loan Entry'!$M$31:$M$34,'Loans to Cash Flows Wkst'!O$2)+SUMIFS('Loan Entry'!$W$47:$W$50,'Loan Entry'!$D$47:$D$50,$C$2,'Loan Entry'!$AB$47:$AB$50,"*Aug*",'Loan Entry'!$M$47:$M$50,'Loans to Cash Flows Wkst'!O$2)+SUMIFS('Loan Entry'!$W$55:$W$58,'Loan Entry'!$D$55:$D$58,$C$2,'Loan Entry'!$AB$55:$AB$58,"*Aug*",'Loan Entry'!$M$55:$M$58,'Loans to Cash Flows Wkst'!O$2)+SUMIFS('Loan Entry'!$W$39:$W$42,'Loan Entry'!$D$39:$D$42,$C$2,'Loan Entry'!$AB$39:$AB$42,"*Aug*",'Loan Entry'!$M$39:$M$42,'Loans to Cash Flows Wkst'!O$2)</f>
        <v>0</v>
      </c>
      <c r="P10" s="765">
        <f>SUMIFS('Loan Entry'!$W$15:$W$18,'Loan Entry'!$D$15:$D$18,$C$2,'Loan Entry'!$AB$15:$AB$18,"*Aug*",'Loan Entry'!$M$15:$M$18,'Loans to Cash Flows Wkst'!P$2)+SUMIFS('Loan Entry'!$W$23:$W$26,'Loan Entry'!$D$23:$D$26,$C$2,'Loan Entry'!$AB$23:$AB$26,"*Aug*",'Loan Entry'!$M$23:$M$26,'Loans to Cash Flows Wkst'!P$2)+SUMIFS('Loan Entry'!$W$31:$W$34,'Loan Entry'!$D$31:$D$34,$C$2,'Loan Entry'!$AB$31:$AB$34,"*Aug*",'Loan Entry'!$M$31:$M$34,'Loans to Cash Flows Wkst'!P$2)+SUMIFS('Loan Entry'!$W$47:$W$50,'Loan Entry'!$D$47:$D$50,$C$2,'Loan Entry'!$AB$47:$AB$50,"*Aug*",'Loan Entry'!$M$47:$M$50,'Loans to Cash Flows Wkst'!P$2)+SUMIFS('Loan Entry'!$W$55:$W$58,'Loan Entry'!$D$55:$D$58,$C$2,'Loan Entry'!$AB$55:$AB$58,"*Aug*",'Loan Entry'!$M$55:$M$58,'Loans to Cash Flows Wkst'!P$2)+SUMIFS('Loan Entry'!$W$39:$W$42,'Loan Entry'!$D$39:$D$42,$C$2,'Loan Entry'!$AB$39:$AB$42,"*Aug*",'Loan Entry'!$M$39:$M$42,'Loans to Cash Flows Wkst'!P$2)</f>
        <v>0</v>
      </c>
      <c r="Q10" s="765">
        <f>SUMIFS('Loan Entry'!$W$15:$W$18,'Loan Entry'!$D$15:$D$18,$C$2,'Loan Entry'!$AB$15:$AB$18,"*Aug*",'Loan Entry'!$M$15:$M$18,'Loans to Cash Flows Wkst'!Q$2)+SUMIFS('Loan Entry'!$W$23:$W$26,'Loan Entry'!$D$23:$D$26,$C$2,'Loan Entry'!$AB$23:$AB$26,"*Aug*",'Loan Entry'!$M$23:$M$26,'Loans to Cash Flows Wkst'!Q$2)+SUMIFS('Loan Entry'!$W$31:$W$34,'Loan Entry'!$D$31:$D$34,$C$2,'Loan Entry'!$AB$31:$AB$34,"*Aug*",'Loan Entry'!$M$31:$M$34,'Loans to Cash Flows Wkst'!Q$2)+SUMIFS('Loan Entry'!$W$47:$W$50,'Loan Entry'!$D$47:$D$50,$C$2,'Loan Entry'!$AB$47:$AB$50,"*Aug*",'Loan Entry'!$M$47:$M$50,'Loans to Cash Flows Wkst'!Q$2)+SUMIFS('Loan Entry'!$W$55:$W$58,'Loan Entry'!$D$55:$D$58,$C$2,'Loan Entry'!$AB$55:$AB$58,"*Aug*",'Loan Entry'!$M$55:$M$58,'Loans to Cash Flows Wkst'!Q$2)+SUMIFS('Loan Entry'!$W$39:$W$42,'Loan Entry'!$D$39:$D$42,$C$2,'Loan Entry'!$AB$39:$AB$42,"*Aug*",'Loan Entry'!$M$39:$M$42,'Loans to Cash Flows Wkst'!Q$2)</f>
        <v>0</v>
      </c>
    </row>
    <row r="11" spans="2:17" x14ac:dyDescent="0.2">
      <c r="B11" s="855" t="s">
        <v>193</v>
      </c>
      <c r="C11" s="856" t="s">
        <v>12</v>
      </c>
      <c r="D11" s="857">
        <f>SUM('Loans to Cash Flows Wkst'!$H11:$K11)</f>
        <v>0</v>
      </c>
      <c r="E11" s="764">
        <f>SUM('Loans to Cash Flows Wkst'!$N11:$Q11)</f>
        <v>0</v>
      </c>
      <c r="G11" s="855" t="s">
        <v>12</v>
      </c>
      <c r="H11" s="857">
        <f>SUMIFS('Loan Entry'!$V$15:$V$18,'Loan Entry'!$D$15:$D$18,$C$2,'Loan Entry'!$AB$15:$AB$18,$C11,'Loan Entry'!$M$15:$M$18,'Loans to Cash Flows Wkst'!H$2)+SUMIFS('Loan Entry'!$V$23:$V$26,'Loan Entry'!$D$23:$D$26,$C$2,'Loan Entry'!$AB$23:$AB$26,$C11,'Loan Entry'!$M$23:$M$26,'Loans to Cash Flows Wkst'!H$2)+SUMIFS('Loan Entry'!$V$31:$V$34,'Loan Entry'!$D$31:$D$34,$C$2,'Loan Entry'!$AB$31:$AB$34,$C11,'Loan Entry'!$M$31:$M$34,'Loans to Cash Flows Wkst'!H$2)+SUMIFS('Loan Entry'!$V$47:$V$50,'Loan Entry'!$D$47:$D$50,$C$2,'Loan Entry'!$AB$47:$AB$50,$C11,'Loan Entry'!$M$47:$M$50,'Loans to Cash Flows Wkst'!H$2) +SUMIFS('Loan Entry'!$V$55:$V$58,'Loan Entry'!$D$55:$D$58,$C$2,'Loan Entry'!$AB$55:$AB$58,$C11,'Loan Entry'!$M$55:$M$58,'Loans to Cash Flows Wkst'!H$2)+SUMIFS('Loan Entry'!$V$39:$V$42,'Loan Entry'!$D$39:$D$42,$C$2,'Loan Entry'!$AB$39:$AB$42,$C11,'Loan Entry'!$M$39:$M$42,'Loans to Cash Flows Wkst'!H$2)</f>
        <v>0</v>
      </c>
      <c r="I11" s="764">
        <f>SUMIFS('Loan Entry'!$V$15:$V$18,'Loan Entry'!$D$15:$D$18,$C$2,'Loan Entry'!$AB$15:$AB$18,"*Sep*",'Loan Entry'!$M$15:$M$18,'Loans to Cash Flows Wkst'!I$2)+SUMIFS('Loan Entry'!$V$23:$V$26,'Loan Entry'!$D$23:$D$26,$C$2,'Loan Entry'!$AB$23:$AB$26,"*Sep*",'Loan Entry'!$M$23:$M$26,'Loans to Cash Flows Wkst'!I$2)+SUMIFS('Loan Entry'!$V$31:$V$34,'Loan Entry'!$D$31:$D$34,$C$2,'Loan Entry'!$AB$31:$AB$34,"*Sep*",'Loan Entry'!$M$31:$M$34,'Loans to Cash Flows Wkst'!I$2)+SUMIFS('Loan Entry'!$V$47:$V$50,'Loan Entry'!$D$47:$D$50,$C$2,'Loan Entry'!$AB$47:$AB$50,"*Sep*",'Loan Entry'!$M$47:$M$50,'Loans to Cash Flows Wkst'!I$2)+SUMIFS('Loan Entry'!$V$55:$V$58,'Loan Entry'!$D$55:$D$58,$C$2,'Loan Entry'!$AB$55:$AB$58,"*Sep*",'Loan Entry'!$M$55:$M$58,'Loans to Cash Flows Wkst'!I$2)+SUMIFS('Loan Entry'!$V$39:$V$42,'Loan Entry'!$D$39:$D$42,$C$2,'Loan Entry'!$AB$39:$AB$42,"*Sep*",'Loan Entry'!$M$39:$M$42,'Loans to Cash Flows Wkst'!I$2)</f>
        <v>0</v>
      </c>
      <c r="J11" s="764">
        <f>SUMIFS('Loan Entry'!$V$15:$V$18,'Loan Entry'!$D$15:$D$18,$C$2,'Loan Entry'!$AB$15:$AB$18,"*Sep*",'Loan Entry'!$M$15:$M$18,'Loans to Cash Flows Wkst'!J$2)+SUMIFS('Loan Entry'!$V$23:$V$26,'Loan Entry'!$D$23:$D$26,$C$2,'Loan Entry'!$AB$23:$AB$26,"*Sep*",'Loan Entry'!$M$23:$M$26,'Loans to Cash Flows Wkst'!J$2)+SUMIFS('Loan Entry'!$V$31:$V$34,'Loan Entry'!$D$31:$D$34,$C$2,'Loan Entry'!$AB$31:$AB$34,"*Sep*",'Loan Entry'!$M$31:$M$34,'Loans to Cash Flows Wkst'!J$2)+SUMIFS('Loan Entry'!$V$47:$V$50,'Loan Entry'!$D$47:$D$50,$C$2,'Loan Entry'!$AB$47:$AB$50,"*Sep*",'Loan Entry'!$M$47:$M$50,'Loans to Cash Flows Wkst'!J$2) +SUMIFS('Loan Entry'!$V$55:$V$58,'Loan Entry'!$D$55:$D$58,$C$2,'Loan Entry'!$AB$55:$AB$58,"*Sep*",'Loan Entry'!$M$55:$M$58,'Loans to Cash Flows Wkst'!J$2)+SUMIFS('Loan Entry'!$V$39:$V$42,'Loan Entry'!$D$39:$D$42,$C$2,'Loan Entry'!$AB$39:$AB$42,"*Sep*",'Loan Entry'!$M$39:$M$42,'Loans to Cash Flows Wkst'!J$2)</f>
        <v>0</v>
      </c>
      <c r="K11" s="764">
        <f>SUMIFS('Loan Entry'!$V$15:$V$18,'Loan Entry'!$D$15:$D$18,$C$2,'Loan Entry'!$AB$15:$AB$18,"*Sep*",'Loan Entry'!$M$15:$M$18,'Loans to Cash Flows Wkst'!K$2)+SUMIFS('Loan Entry'!$V$23:$V$26,'Loan Entry'!$D$23:$D$26,$C$2,'Loan Entry'!$AB$23:$AB$26,"*Sep*",'Loan Entry'!$M$23:$M$26,'Loans to Cash Flows Wkst'!K$2)+SUMIFS('Loan Entry'!$V$31:$V$34,'Loan Entry'!$D$31:$D$34,$C$2,'Loan Entry'!$AB$31:$AB$34,"*Sep*",'Loan Entry'!$M$31:$M$34,'Loans to Cash Flows Wkst'!K$2)+SUMIFS('Loan Entry'!$V$47:$V$50,'Loan Entry'!$D$47:$D$50,$C$2,'Loan Entry'!$AB$47:$AB$50,"*Sep*",'Loan Entry'!$M$47:$M$50,'Loans to Cash Flows Wkst'!K$2) +SUMIFS('Loan Entry'!$V$55:$V$58,'Loan Entry'!$D$55:$D$58,$C$2,'Loan Entry'!$AB$55:$AB$58,"*Sep*",'Loan Entry'!$M$55:$M$58,'Loans to Cash Flows Wkst'!K$2)+SUMIFS('Loan Entry'!$V$39:$V$42,'Loan Entry'!$D$39:$D$42,$C$2,'Loan Entry'!$AB$39:$AB$42,"*Sep*",'Loan Entry'!$M$39:$M$42,'Loans to Cash Flows Wkst'!K$2)</f>
        <v>0</v>
      </c>
      <c r="M11" s="855" t="s">
        <v>12</v>
      </c>
      <c r="N11" s="764">
        <f>SUMIFS('Loan Entry'!$W$15:$W$18,'Loan Entry'!$D$15:$D$18,$C$2,'Loan Entry'!$AB$15:$AB$18,$C11,'Loan Entry'!$M$15:$M$18,'Loans to Cash Flows Wkst'!N$2)+SUMIFS('Loan Entry'!$W$23:$W$26,'Loan Entry'!$D$23:$D$26,$C$2,'Loan Entry'!$AB$23:$AB$26,$C11,'Loan Entry'!$M$23:$M$26,'Loans to Cash Flows Wkst'!N$2)+SUMIFS('Loan Entry'!$W$31:$W$34,'Loan Entry'!$D$31:$D$34,$C$2,'Loan Entry'!$AB$31:$AB$34,$C11,'Loan Entry'!$M$31:$M$34,'Loans to Cash Flows Wkst'!N$2)+SUMIFS('Loan Entry'!$W$47:$W$50,'Loan Entry'!$D$47:$D$50,$C$2,'Loan Entry'!$AB$47:$AB$50,$C11,'Loan Entry'!$M$47:$M$50,'Loans to Cash Flows Wkst'!N$2)+SUMIFS('Loan Entry'!$W$55:$W$58,'Loan Entry'!$D$55:$D$58,$C$2,'Loan Entry'!$AB$55:$AB$58,$C11,'Loan Entry'!$M$55:$M$58,'Loans to Cash Flows Wkst'!N$2)+SUMIFS('Loan Entry'!$W$39:$W$42,'Loan Entry'!$D$39:$D$42,$C$2,'Loan Entry'!$AB$39:$AB$42,$C11,'Loan Entry'!$M$39:$M$42,'Loans to Cash Flows Wkst'!N$2)</f>
        <v>0</v>
      </c>
      <c r="O11" s="764">
        <f>SUMIFS('Loan Entry'!$W$15:$W$18,'Loan Entry'!$D$15:$D$18,$C$2,'Loan Entry'!$AB$15:$AB$18,"*Sep*",'Loan Entry'!$M$15:$M$18,'Loans to Cash Flows Wkst'!O$2)+SUMIFS('Loan Entry'!$W$23:$W$26,'Loan Entry'!$D$23:$D$26,$C$2,'Loan Entry'!$AB$23:$AB$26,"*Sep*",'Loan Entry'!$M$23:$M$26,'Loans to Cash Flows Wkst'!O$2)+SUMIFS('Loan Entry'!$W$31:$W$34,'Loan Entry'!$D$31:$D$34,$C$2,'Loan Entry'!$AB$31:$AB$34,"*Sep*",'Loan Entry'!$M$31:$M$34,'Loans to Cash Flows Wkst'!O$2)+SUMIFS('Loan Entry'!$W$47:$W$50,'Loan Entry'!$D$47:$D$50,$C$2,'Loan Entry'!$AB$47:$AB$50,"*Sep*",'Loan Entry'!$M$47:$M$50,'Loans to Cash Flows Wkst'!O$2)+SUMIFS('Loan Entry'!$W$55:$W$58,'Loan Entry'!$D$55:$D$58,$C$2,'Loan Entry'!$AB$55:$AB$58,"*Sep*",'Loan Entry'!$M$55:$M$58,'Loans to Cash Flows Wkst'!O$2)+SUMIFS('Loan Entry'!$W$39:$W$42,'Loan Entry'!$D$39:$D$42,$C$2,'Loan Entry'!$AB$39:$AB$42,"*Sep*",'Loan Entry'!$M$39:$M$42,'Loans to Cash Flows Wkst'!O$2)</f>
        <v>0</v>
      </c>
      <c r="P11" s="764">
        <f>SUMIFS('Loan Entry'!$W$15:$W$18,'Loan Entry'!$D$15:$D$18,$C$2,'Loan Entry'!$AB$15:$AB$18,"*Sep*",'Loan Entry'!$M$15:$M$18,'Loans to Cash Flows Wkst'!P$2)+SUMIFS('Loan Entry'!$W$23:$W$26,'Loan Entry'!$D$23:$D$26,$C$2,'Loan Entry'!$AB$23:$AB$26,"*Sep*",'Loan Entry'!$M$23:$M$26,'Loans to Cash Flows Wkst'!P$2)+SUMIFS('Loan Entry'!$W$31:$W$34,'Loan Entry'!$D$31:$D$34,$C$2,'Loan Entry'!$AB$31:$AB$34,"*Sep*",'Loan Entry'!$M$31:$M$34,'Loans to Cash Flows Wkst'!P$2)+SUMIFS('Loan Entry'!$W$47:$W$50,'Loan Entry'!$D$47:$D$50,$C$2,'Loan Entry'!$AB$47:$AB$50,"*Sep*",'Loan Entry'!$M$47:$M$50,'Loans to Cash Flows Wkst'!P$2)+SUMIFS('Loan Entry'!$W$55:$W$58,'Loan Entry'!$D$55:$D$58,$C$2,'Loan Entry'!$AB$55:$AB$58,"*Sep*",'Loan Entry'!$M$55:$M$58,'Loans to Cash Flows Wkst'!P$2)+SUMIFS('Loan Entry'!$W$39:$W$42,'Loan Entry'!$D$39:$D$42,$C$2,'Loan Entry'!$AB$39:$AB$42,"*Sep*",'Loan Entry'!$M$39:$M$42,'Loans to Cash Flows Wkst'!P$2)</f>
        <v>0</v>
      </c>
      <c r="Q11" s="764">
        <f>SUMIFS('Loan Entry'!$W$15:$W$18,'Loan Entry'!$D$15:$D$18,$C$2,'Loan Entry'!$AB$15:$AB$18,"*Sep*",'Loan Entry'!$M$15:$M$18,'Loans to Cash Flows Wkst'!Q$2)+SUMIFS('Loan Entry'!$W$23:$W$26,'Loan Entry'!$D$23:$D$26,$C$2,'Loan Entry'!$AB$23:$AB$26,"*Sep*",'Loan Entry'!$M$23:$M$26,'Loans to Cash Flows Wkst'!Q$2)+SUMIFS('Loan Entry'!$W$31:$W$34,'Loan Entry'!$D$31:$D$34,$C$2,'Loan Entry'!$AB$31:$AB$34,"*Sep*",'Loan Entry'!$M$31:$M$34,'Loans to Cash Flows Wkst'!Q$2)+SUMIFS('Loan Entry'!$W$47:$W$50,'Loan Entry'!$D$47:$D$50,$C$2,'Loan Entry'!$AB$47:$AB$50,"*Sep*",'Loan Entry'!$M$47:$M$50,'Loans to Cash Flows Wkst'!Q$2)+SUMIFS('Loan Entry'!$W$55:$W$58,'Loan Entry'!$D$55:$D$58,$C$2,'Loan Entry'!$AB$55:$AB$58,"*Sep*",'Loan Entry'!$M$55:$M$58,'Loans to Cash Flows Wkst'!Q$2)+SUMIFS('Loan Entry'!$W$39:$W$42,'Loan Entry'!$D$39:$D$42,$C$2,'Loan Entry'!$AB$39:$AB$42,"*Sep*",'Loan Entry'!$M$39:$M$42,'Loans to Cash Flows Wkst'!Q$2)</f>
        <v>0</v>
      </c>
    </row>
    <row r="12" spans="2:17" x14ac:dyDescent="0.2">
      <c r="B12" s="852" t="s">
        <v>194</v>
      </c>
      <c r="C12" s="858" t="s">
        <v>13</v>
      </c>
      <c r="D12" s="854">
        <f>SUM('Loans to Cash Flows Wkst'!$H12:$K12)</f>
        <v>0</v>
      </c>
      <c r="E12" s="765">
        <f>SUM('Loans to Cash Flows Wkst'!$N12:$Q12)</f>
        <v>0</v>
      </c>
      <c r="G12" s="852" t="s">
        <v>13</v>
      </c>
      <c r="H12" s="854">
        <f>SUMIFS('Loan Entry'!$V$15:$V$18,'Loan Entry'!$D$15:$D$18,$C$2,'Loan Entry'!$AB$15:$AB$18,$C12,'Loan Entry'!$M$15:$M$18,'Loans to Cash Flows Wkst'!H$2)+SUMIFS('Loan Entry'!$V$23:$V$26,'Loan Entry'!$D$23:$D$26,$C$2,'Loan Entry'!$AB$23:$AB$26,$C12,'Loan Entry'!$M$23:$M$26,'Loans to Cash Flows Wkst'!H$2)+SUMIFS('Loan Entry'!$V$31:$V$34,'Loan Entry'!$D$31:$D$34,$C$2,'Loan Entry'!$AB$31:$AB$34,$C12,'Loan Entry'!$M$31:$M$34,'Loans to Cash Flows Wkst'!H$2)+SUMIFS('Loan Entry'!$V$47:$V$50,'Loan Entry'!$D$47:$D$50,$C$2,'Loan Entry'!$AB$47:$AB$50,$C12,'Loan Entry'!$M$47:$M$50,'Loans to Cash Flows Wkst'!H$2) +SUMIFS('Loan Entry'!$V$55:$V$58,'Loan Entry'!$D$55:$D$58,$C$2,'Loan Entry'!$AB$55:$AB$58,$C12,'Loan Entry'!$M$55:$M$58,'Loans to Cash Flows Wkst'!H$2)+SUMIFS('Loan Entry'!$V$39:$V$42,'Loan Entry'!$D$39:$D$42,$C$2,'Loan Entry'!$AB$39:$AB$42,$C12,'Loan Entry'!$M$39:$M$42,'Loans to Cash Flows Wkst'!H$2)</f>
        <v>0</v>
      </c>
      <c r="I12" s="765">
        <f>SUMIFS('Loan Entry'!$V$15:$V$18,'Loan Entry'!$D$15:$D$18,$C$2,'Loan Entry'!$AB$15:$AB$18,"*Oct*",'Loan Entry'!$M$15:$M$18,'Loans to Cash Flows Wkst'!I$2)+SUMIFS('Loan Entry'!$V$23:$V$26,'Loan Entry'!$D$23:$D$26,$C$2,'Loan Entry'!$AB$23:$AB$26,"*Oct*",'Loan Entry'!$M$23:$M$26,'Loans to Cash Flows Wkst'!I$2)+SUMIFS('Loan Entry'!$V$31:$V$34,'Loan Entry'!$D$31:$D$34,$C$2,'Loan Entry'!$AB$31:$AB$34,"*Oct*",'Loan Entry'!$M$31:$M$34,'Loans to Cash Flows Wkst'!I$2)+SUMIFS('Loan Entry'!$V$47:$V$50,'Loan Entry'!$D$47:$D$50,$C$2,'Loan Entry'!$AB$47:$AB$50,"*Oct*",'Loan Entry'!$M$47:$M$50,'Loans to Cash Flows Wkst'!I$2)+SUMIFS('Loan Entry'!$V$55:$V$58,'Loan Entry'!$D$55:$D$58,$C$2,'Loan Entry'!$AB$55:$AB$58,"*Oct*",'Loan Entry'!$M$55:$M$58,'Loans to Cash Flows Wkst'!I$2)+SUMIFS('Loan Entry'!$V$39:$V$42,'Loan Entry'!$D$39:$D$42,$C$2,'Loan Entry'!$AB$39:$AB$42,"*Oct*",'Loan Entry'!$M$39:$M$42,'Loans to Cash Flows Wkst'!I$2)</f>
        <v>0</v>
      </c>
      <c r="J12" s="765">
        <f>SUMIFS('Loan Entry'!$V$15:$V$18,'Loan Entry'!$D$15:$D$18,$C$2,'Loan Entry'!$AB$15:$AB$18,"*Oct*",'Loan Entry'!$M$15:$M$18,'Loans to Cash Flows Wkst'!J$2)+SUMIFS('Loan Entry'!$V$23:$V$26,'Loan Entry'!$D$23:$D$26,$C$2,'Loan Entry'!$AB$23:$AB$26,"*Oct*",'Loan Entry'!$M$23:$M$26,'Loans to Cash Flows Wkst'!J$2)+SUMIFS('Loan Entry'!$V$31:$V$34,'Loan Entry'!$D$31:$D$34,$C$2,'Loan Entry'!$AB$31:$AB$34,"*Oct*",'Loan Entry'!$M$31:$M$34,'Loans to Cash Flows Wkst'!J$2)+SUMIFS('Loan Entry'!$V$47:$V$50,'Loan Entry'!$D$47:$D$50,$C$2,'Loan Entry'!$AB$47:$AB$50,"*Oct*",'Loan Entry'!$M$47:$M$50,'Loans to Cash Flows Wkst'!J$2) +SUMIFS('Loan Entry'!$V$55:$V$58,'Loan Entry'!$D$55:$D$58,$C$2,'Loan Entry'!$AB$55:$AB$58,"*Oct*",'Loan Entry'!$M$55:$M$58,'Loans to Cash Flows Wkst'!J$2)+SUMIFS('Loan Entry'!$V$39:$V$42,'Loan Entry'!$D$39:$D$42,$C$2,'Loan Entry'!$AB$39:$AB$42,"*Oct*",'Loan Entry'!$M$39:$M$42,'Loans to Cash Flows Wkst'!J$2)</f>
        <v>0</v>
      </c>
      <c r="K12" s="765">
        <f>SUMIFS('Loan Entry'!$V$15:$V$18,'Loan Entry'!$D$15:$D$18,$C$2,'Loan Entry'!$AB$15:$AB$18,"*Oct*",'Loan Entry'!$M$15:$M$18,'Loans to Cash Flows Wkst'!K$2)+SUMIFS('Loan Entry'!$V$23:$V$26,'Loan Entry'!$D$23:$D$26,$C$2,'Loan Entry'!$AB$23:$AB$26,"*Oct*",'Loan Entry'!$M$23:$M$26,'Loans to Cash Flows Wkst'!K$2)+SUMIFS('Loan Entry'!$V$31:$V$34,'Loan Entry'!$D$31:$D$34,$C$2,'Loan Entry'!$AB$31:$AB$34,"*Oct*",'Loan Entry'!$M$31:$M$34,'Loans to Cash Flows Wkst'!K$2)+SUMIFS('Loan Entry'!$V$47:$V$50,'Loan Entry'!$D$47:$D$50,$C$2,'Loan Entry'!$AB$47:$AB$50,"*Oct*",'Loan Entry'!$M$47:$M$50,'Loans to Cash Flows Wkst'!K$2) +SUMIFS('Loan Entry'!$V$55:$V$58,'Loan Entry'!$D$55:$D$58,$C$2,'Loan Entry'!$AB$55:$AB$58,"*Oct*",'Loan Entry'!$M$55:$M$58,'Loans to Cash Flows Wkst'!K$2)+SUMIFS('Loan Entry'!$V$39:$V$42,'Loan Entry'!$D$39:$D$42,$C$2,'Loan Entry'!$AB$39:$AB$42,"*Oct*",'Loan Entry'!$M$39:$M$42,'Loans to Cash Flows Wkst'!K$2)</f>
        <v>0</v>
      </c>
      <c r="M12" s="852" t="s">
        <v>13</v>
      </c>
      <c r="N12" s="765">
        <f>SUMIFS('Loan Entry'!$W$15:$W$18,'Loan Entry'!$D$15:$D$18,$C$2,'Loan Entry'!$AB$15:$AB$18,$C12,'Loan Entry'!$M$15:$M$18,'Loans to Cash Flows Wkst'!N$2)+SUMIFS('Loan Entry'!$W$23:$W$26,'Loan Entry'!$D$23:$D$26,$C$2,'Loan Entry'!$AB$23:$AB$26,$C12,'Loan Entry'!$M$23:$M$26,'Loans to Cash Flows Wkst'!N$2)+SUMIFS('Loan Entry'!$W$31:$W$34,'Loan Entry'!$D$31:$D$34,$C$2,'Loan Entry'!$AB$31:$AB$34,$C12,'Loan Entry'!$M$31:$M$34,'Loans to Cash Flows Wkst'!N$2)+SUMIFS('Loan Entry'!$W$47:$W$50,'Loan Entry'!$D$47:$D$50,$C$2,'Loan Entry'!$AB$47:$AB$50,$C12,'Loan Entry'!$M$47:$M$50,'Loans to Cash Flows Wkst'!N$2)+SUMIFS('Loan Entry'!$W$55:$W$58,'Loan Entry'!$D$55:$D$58,$C$2,'Loan Entry'!$AB$55:$AB$58,$C12,'Loan Entry'!$M$55:$M$58,'Loans to Cash Flows Wkst'!N$2)+SUMIFS('Loan Entry'!$W$39:$W$42,'Loan Entry'!$D$39:$D$42,$C$2,'Loan Entry'!$AB$39:$AB$42,$C12,'Loan Entry'!$M$39:$M$42,'Loans to Cash Flows Wkst'!N$2)</f>
        <v>0</v>
      </c>
      <c r="O12" s="765">
        <f>SUMIFS('Loan Entry'!$W$15:$W$18,'Loan Entry'!$D$15:$D$18,$C$2,'Loan Entry'!$AB$15:$AB$18,"*Oct*",'Loan Entry'!$M$15:$M$18,'Loans to Cash Flows Wkst'!O$2)+SUMIFS('Loan Entry'!$W$23:$W$26,'Loan Entry'!$D$23:$D$26,$C$2,'Loan Entry'!$AB$23:$AB$26,"*Oct*",'Loan Entry'!$M$23:$M$26,'Loans to Cash Flows Wkst'!O$2)+SUMIFS('Loan Entry'!$W$31:$W$34,'Loan Entry'!$D$31:$D$34,$C$2,'Loan Entry'!$AB$31:$AB$34,"*Oct*",'Loan Entry'!$M$31:$M$34,'Loans to Cash Flows Wkst'!O$2)+SUMIFS('Loan Entry'!$W$47:$W$50,'Loan Entry'!$D$47:$D$50,$C$2,'Loan Entry'!$AB$47:$AB$50,"*Oct*",'Loan Entry'!$M$47:$M$50,'Loans to Cash Flows Wkst'!O$2)+SUMIFS('Loan Entry'!$W$55:$W$58,'Loan Entry'!$D$55:$D$58,$C$2,'Loan Entry'!$AB$55:$AB$58,"*Oct*",'Loan Entry'!$M$55:$M$58,'Loans to Cash Flows Wkst'!O$2)+SUMIFS('Loan Entry'!$W$39:$W$42,'Loan Entry'!$D$39:$D$42,$C$2,'Loan Entry'!$AB$39:$AB$42,"*Oct*",'Loan Entry'!$M$39:$M$42,'Loans to Cash Flows Wkst'!O$2)</f>
        <v>0</v>
      </c>
      <c r="P12" s="765">
        <f>SUMIFS('Loan Entry'!$W$15:$W$18,'Loan Entry'!$D$15:$D$18,$C$2,'Loan Entry'!$AB$15:$AB$18,"*Oct*",'Loan Entry'!$M$15:$M$18,'Loans to Cash Flows Wkst'!P$2)+SUMIFS('Loan Entry'!$W$23:$W$26,'Loan Entry'!$D$23:$D$26,$C$2,'Loan Entry'!$AB$23:$AB$26,"*Oct*",'Loan Entry'!$M$23:$M$26,'Loans to Cash Flows Wkst'!P$2)+SUMIFS('Loan Entry'!$W$31:$W$34,'Loan Entry'!$D$31:$D$34,$C$2,'Loan Entry'!$AB$31:$AB$34,"*Oct*",'Loan Entry'!$M$31:$M$34,'Loans to Cash Flows Wkst'!P$2)+SUMIFS('Loan Entry'!$W$47:$W$50,'Loan Entry'!$D$47:$D$50,$C$2,'Loan Entry'!$AB$47:$AB$50,"*Oct*",'Loan Entry'!$M$47:$M$50,'Loans to Cash Flows Wkst'!P$2)+SUMIFS('Loan Entry'!$W$55:$W$58,'Loan Entry'!$D$55:$D$58,$C$2,'Loan Entry'!$AB$55:$AB$58,"*Oct*",'Loan Entry'!$M$55:$M$58,'Loans to Cash Flows Wkst'!P$2)+SUMIFS('Loan Entry'!$W$39:$W$42,'Loan Entry'!$D$39:$D$42,$C$2,'Loan Entry'!$AB$39:$AB$42,"*Oct*",'Loan Entry'!$M$39:$M$42,'Loans to Cash Flows Wkst'!P$2)</f>
        <v>0</v>
      </c>
      <c r="Q12" s="765">
        <f>SUMIFS('Loan Entry'!$W$15:$W$18,'Loan Entry'!$D$15:$D$18,$C$2,'Loan Entry'!$AB$15:$AB$18,"*Oct*",'Loan Entry'!$M$15:$M$18,'Loans to Cash Flows Wkst'!Q$2)+SUMIFS('Loan Entry'!$W$23:$W$26,'Loan Entry'!$D$23:$D$26,$C$2,'Loan Entry'!$AB$23:$AB$26,"*Oct*",'Loan Entry'!$M$23:$M$26,'Loans to Cash Flows Wkst'!Q$2)+SUMIFS('Loan Entry'!$W$31:$W$34,'Loan Entry'!$D$31:$D$34,$C$2,'Loan Entry'!$AB$31:$AB$34,"*Oct*",'Loan Entry'!$M$31:$M$34,'Loans to Cash Flows Wkst'!Q$2)+SUMIFS('Loan Entry'!$W$47:$W$50,'Loan Entry'!$D$47:$D$50,$C$2,'Loan Entry'!$AB$47:$AB$50,"*Oct*",'Loan Entry'!$M$47:$M$50,'Loans to Cash Flows Wkst'!Q$2)+SUMIFS('Loan Entry'!$W$55:$W$58,'Loan Entry'!$D$55:$D$58,$C$2,'Loan Entry'!$AB$55:$AB$58,"*Oct*",'Loan Entry'!$M$55:$M$58,'Loans to Cash Flows Wkst'!Q$2)+SUMIFS('Loan Entry'!$W$39:$W$42,'Loan Entry'!$D$39:$D$42,$C$2,'Loan Entry'!$AB$39:$AB$42,"*Oct*",'Loan Entry'!$M$39:$M$42,'Loans to Cash Flows Wkst'!Q$2)</f>
        <v>0</v>
      </c>
    </row>
    <row r="13" spans="2:17" x14ac:dyDescent="0.2">
      <c r="B13" s="855" t="s">
        <v>195</v>
      </c>
      <c r="C13" s="856" t="s">
        <v>14</v>
      </c>
      <c r="D13" s="857">
        <f>SUM('Loans to Cash Flows Wkst'!$H13:$K13)</f>
        <v>0</v>
      </c>
      <c r="E13" s="764">
        <f>SUM('Loans to Cash Flows Wkst'!$N13:$Q13)</f>
        <v>0</v>
      </c>
      <c r="G13" s="855" t="s">
        <v>14</v>
      </c>
      <c r="H13" s="857">
        <f>SUMIFS('Loan Entry'!$V$15:$V$18,'Loan Entry'!$D$15:$D$18,$C$2,'Loan Entry'!$AB$15:$AB$18,$C13,'Loan Entry'!$M$15:$M$18,'Loans to Cash Flows Wkst'!H$2)+SUMIFS('Loan Entry'!$V$23:$V$26,'Loan Entry'!$D$23:$D$26,$C$2,'Loan Entry'!$AB$23:$AB$26,$C13,'Loan Entry'!$M$23:$M$26,'Loans to Cash Flows Wkst'!H$2)+SUMIFS('Loan Entry'!$V$31:$V$34,'Loan Entry'!$D$31:$D$34,$C$2,'Loan Entry'!$AB$31:$AB$34,$C13,'Loan Entry'!$M$31:$M$34,'Loans to Cash Flows Wkst'!H$2)+SUMIFS('Loan Entry'!$V$47:$V$50,'Loan Entry'!$D$47:$D$50,$C$2,'Loan Entry'!$AB$47:$AB$50,$C13,'Loan Entry'!$M$47:$M$50,'Loans to Cash Flows Wkst'!H$2) +SUMIFS('Loan Entry'!$V$55:$V$58,'Loan Entry'!$D$55:$D$58,$C$2,'Loan Entry'!$AB$55:$AB$58,$C13,'Loan Entry'!$M$55:$M$58,'Loans to Cash Flows Wkst'!H$2)+SUMIFS('Loan Entry'!$V$39:$V$42,'Loan Entry'!$D$39:$D$42,$C$2,'Loan Entry'!$AB$39:$AB$42,$C13,'Loan Entry'!$M$39:$M$42,'Loans to Cash Flows Wkst'!H$2)</f>
        <v>0</v>
      </c>
      <c r="I13" s="764">
        <f>SUMIFS('Loan Entry'!$V$15:$V$18,'Loan Entry'!$D$15:$D$18,$C$2,'Loan Entry'!$AB$15:$AB$18,"*Nov*",'Loan Entry'!$M$15:$M$18,'Loans to Cash Flows Wkst'!I$2)+SUMIFS('Loan Entry'!$V$23:$V$26,'Loan Entry'!$D$23:$D$26,$C$2,'Loan Entry'!$AB$23:$AB$26,"*Nov*",'Loan Entry'!$M$23:$M$26,'Loans to Cash Flows Wkst'!I$2)+SUMIFS('Loan Entry'!$V$31:$V$34,'Loan Entry'!$D$31:$D$34,$C$2,'Loan Entry'!$AB$31:$AB$34,"*Nov*",'Loan Entry'!$M$31:$M$34,'Loans to Cash Flows Wkst'!I$2)+SUMIFS('Loan Entry'!$V$47:$V$50,'Loan Entry'!$D$47:$D$50,$C$2,'Loan Entry'!$AB$47:$AB$50,"*Nov*",'Loan Entry'!$M$47:$M$50,'Loans to Cash Flows Wkst'!I$2)+SUMIFS('Loan Entry'!$V$55:$V$58,'Loan Entry'!$D$55:$D$58,$C$2,'Loan Entry'!$AB$55:$AB$58,"*Nov*",'Loan Entry'!$M$55:$M$58,'Loans to Cash Flows Wkst'!I$2)+SUMIFS('Loan Entry'!$V$39:$V$42,'Loan Entry'!$D$39:$D$42,$C$2,'Loan Entry'!$AB$39:$AB$42,"*Nov*",'Loan Entry'!$M$39:$M$42,'Loans to Cash Flows Wkst'!I$2)</f>
        <v>0</v>
      </c>
      <c r="J13" s="764">
        <f>SUMIFS('Loan Entry'!$V$15:$V$18,'Loan Entry'!$D$15:$D$18,$C$2,'Loan Entry'!$AB$15:$AB$18,"*Nov*",'Loan Entry'!$M$15:$M$18,'Loans to Cash Flows Wkst'!J$2)+SUMIFS('Loan Entry'!$V$23:$V$26,'Loan Entry'!$D$23:$D$26,$C$2,'Loan Entry'!$AB$23:$AB$26,"*Nov*",'Loan Entry'!$M$23:$M$26,'Loans to Cash Flows Wkst'!J$2)+SUMIFS('Loan Entry'!$V$31:$V$34,'Loan Entry'!$D$31:$D$34,$C$2,'Loan Entry'!$AB$31:$AB$34,"*Nov*",'Loan Entry'!$M$31:$M$34,'Loans to Cash Flows Wkst'!J$2)+SUMIFS('Loan Entry'!$V$47:$V$50,'Loan Entry'!$D$47:$D$50,$C$2,'Loan Entry'!$AB$47:$AB$50,"*Nov*",'Loan Entry'!$M$47:$M$50,'Loans to Cash Flows Wkst'!J$2) +SUMIFS('Loan Entry'!$V$55:$V$58,'Loan Entry'!$D$55:$D$58,$C$2,'Loan Entry'!$AB$55:$AB$58,"*Nov*",'Loan Entry'!$M$55:$M$58,'Loans to Cash Flows Wkst'!J$2)+SUMIFS('Loan Entry'!$V$39:$V$42,'Loan Entry'!$D$39:$D$42,$C$2,'Loan Entry'!$AB$39:$AB$42,"*Nov*",'Loan Entry'!$M$39:$M$42,'Loans to Cash Flows Wkst'!J$2)</f>
        <v>0</v>
      </c>
      <c r="K13" s="764">
        <f>SUMIFS('Loan Entry'!$V$15:$V$18,'Loan Entry'!$D$15:$D$18,$C$2,'Loan Entry'!$AB$15:$AB$18,"*Nov*",'Loan Entry'!$M$15:$M$18,'Loans to Cash Flows Wkst'!K$2)+SUMIFS('Loan Entry'!$V$23:$V$26,'Loan Entry'!$D$23:$D$26,$C$2,'Loan Entry'!$AB$23:$AB$26,"*Nov*",'Loan Entry'!$M$23:$M$26,'Loans to Cash Flows Wkst'!K$2)+SUMIFS('Loan Entry'!$V$31:$V$34,'Loan Entry'!$D$31:$D$34,$C$2,'Loan Entry'!$AB$31:$AB$34,"*Nov*",'Loan Entry'!$M$31:$M$34,'Loans to Cash Flows Wkst'!K$2)+SUMIFS('Loan Entry'!$V$47:$V$50,'Loan Entry'!$D$47:$D$50,$C$2,'Loan Entry'!$AB$47:$AB$50,"*Nov*",'Loan Entry'!$M$47:$M$50,'Loans to Cash Flows Wkst'!K$2) +SUMIFS('Loan Entry'!$V$55:$V$58,'Loan Entry'!$D$55:$D$58,$C$2,'Loan Entry'!$AB$55:$AB$58,"*Nov*",'Loan Entry'!$M$55:$M$58,'Loans to Cash Flows Wkst'!K$2)+SUMIFS('Loan Entry'!$V$39:$V$42,'Loan Entry'!$D$39:$D$42,$C$2,'Loan Entry'!$AB$39:$AB$42,"*Nov*",'Loan Entry'!$M$39:$M$42,'Loans to Cash Flows Wkst'!K$2)</f>
        <v>0</v>
      </c>
      <c r="M13" s="855" t="s">
        <v>14</v>
      </c>
      <c r="N13" s="764">
        <f>SUMIFS('Loan Entry'!$W$15:$W$18,'Loan Entry'!$D$15:$D$18,$C$2,'Loan Entry'!$AB$15:$AB$18,$C13,'Loan Entry'!$M$15:$M$18,'Loans to Cash Flows Wkst'!N$2)+SUMIFS('Loan Entry'!$W$23:$W$26,'Loan Entry'!$D$23:$D$26,$C$2,'Loan Entry'!$AB$23:$AB$26,$C13,'Loan Entry'!$M$23:$M$26,'Loans to Cash Flows Wkst'!N$2)+SUMIFS('Loan Entry'!$W$31:$W$34,'Loan Entry'!$D$31:$D$34,$C$2,'Loan Entry'!$AB$31:$AB$34,$C13,'Loan Entry'!$M$31:$M$34,'Loans to Cash Flows Wkst'!N$2)+SUMIFS('Loan Entry'!$W$47:$W$50,'Loan Entry'!$D$47:$D$50,$C$2,'Loan Entry'!$AB$47:$AB$50,$C13,'Loan Entry'!$M$47:$M$50,'Loans to Cash Flows Wkst'!N$2)+SUMIFS('Loan Entry'!$W$55:$W$58,'Loan Entry'!$D$55:$D$58,$C$2,'Loan Entry'!$AB$55:$AB$58,$C13,'Loan Entry'!$M$55:$M$58,'Loans to Cash Flows Wkst'!N$2)+SUMIFS('Loan Entry'!$W$39:$W$42,'Loan Entry'!$D$39:$D$42,$C$2,'Loan Entry'!$AB$39:$AB$42,$C13,'Loan Entry'!$M$39:$M$42,'Loans to Cash Flows Wkst'!N$2)</f>
        <v>0</v>
      </c>
      <c r="O13" s="764">
        <f>SUMIFS('Loan Entry'!$W$15:$W$18,'Loan Entry'!$D$15:$D$18,$C$2,'Loan Entry'!$AB$15:$AB$18,"*Nov*",'Loan Entry'!$M$15:$M$18,'Loans to Cash Flows Wkst'!O$2)+SUMIFS('Loan Entry'!$W$23:$W$26,'Loan Entry'!$D$23:$D$26,$C$2,'Loan Entry'!$AB$23:$AB$26,"*Nov*",'Loan Entry'!$M$23:$M$26,'Loans to Cash Flows Wkst'!O$2)+SUMIFS('Loan Entry'!$W$31:$W$34,'Loan Entry'!$D$31:$D$34,$C$2,'Loan Entry'!$AB$31:$AB$34,"*Nov*",'Loan Entry'!$M$31:$M$34,'Loans to Cash Flows Wkst'!O$2)+SUMIFS('Loan Entry'!$W$47:$W$50,'Loan Entry'!$D$47:$D$50,$C$2,'Loan Entry'!$AB$47:$AB$50,"*Nov*",'Loan Entry'!$M$47:$M$50,'Loans to Cash Flows Wkst'!O$2)+SUMIFS('Loan Entry'!$W$55:$W$58,'Loan Entry'!$D$55:$D$58,$C$2,'Loan Entry'!$AB$55:$AB$58,"*Nov*",'Loan Entry'!$M$55:$M$58,'Loans to Cash Flows Wkst'!O$2)+SUMIFS('Loan Entry'!$W$39:$W$42,'Loan Entry'!$D$39:$D$42,$C$2,'Loan Entry'!$AB$39:$AB$42,"*Nov*",'Loan Entry'!$M$39:$M$42,'Loans to Cash Flows Wkst'!O$2)</f>
        <v>0</v>
      </c>
      <c r="P13" s="764">
        <f>SUMIFS('Loan Entry'!$W$15:$W$18,'Loan Entry'!$D$15:$D$18,$C$2,'Loan Entry'!$AB$15:$AB$18,"*Nov*",'Loan Entry'!$M$15:$M$18,'Loans to Cash Flows Wkst'!P$2)+SUMIFS('Loan Entry'!$W$23:$W$26,'Loan Entry'!$D$23:$D$26,$C$2,'Loan Entry'!$AB$23:$AB$26,"*Nov*",'Loan Entry'!$M$23:$M$26,'Loans to Cash Flows Wkst'!P$2)+SUMIFS('Loan Entry'!$W$31:$W$34,'Loan Entry'!$D$31:$D$34,$C$2,'Loan Entry'!$AB$31:$AB$34,"*Nov*",'Loan Entry'!$M$31:$M$34,'Loans to Cash Flows Wkst'!P$2)+SUMIFS('Loan Entry'!$W$47:$W$50,'Loan Entry'!$D$47:$D$50,$C$2,'Loan Entry'!$AB$47:$AB$50,"*Nov*",'Loan Entry'!$M$47:$M$50,'Loans to Cash Flows Wkst'!P$2)+SUMIFS('Loan Entry'!$W$55:$W$58,'Loan Entry'!$D$55:$D$58,$C$2,'Loan Entry'!$AB$55:$AB$58,"*Nov*",'Loan Entry'!$M$55:$M$58,'Loans to Cash Flows Wkst'!P$2)+SUMIFS('Loan Entry'!$W$39:$W$42,'Loan Entry'!$D$39:$D$42,$C$2,'Loan Entry'!$AB$39:$AB$42,"*Nov*",'Loan Entry'!$M$39:$M$42,'Loans to Cash Flows Wkst'!P$2)</f>
        <v>0</v>
      </c>
      <c r="Q13" s="764">
        <f>SUMIFS('Loan Entry'!$W$15:$W$18,'Loan Entry'!$D$15:$D$18,$C$2,'Loan Entry'!$AB$15:$AB$18,"*Nov*",'Loan Entry'!$M$15:$M$18,'Loans to Cash Flows Wkst'!Q$2)+SUMIFS('Loan Entry'!$W$23:$W$26,'Loan Entry'!$D$23:$D$26,$C$2,'Loan Entry'!$AB$23:$AB$26,"*Nov*",'Loan Entry'!$M$23:$M$26,'Loans to Cash Flows Wkst'!Q$2)+SUMIFS('Loan Entry'!$W$31:$W$34,'Loan Entry'!$D$31:$D$34,$C$2,'Loan Entry'!$AB$31:$AB$34,"*Nov*",'Loan Entry'!$M$31:$M$34,'Loans to Cash Flows Wkst'!Q$2)+SUMIFS('Loan Entry'!$W$47:$W$50,'Loan Entry'!$D$47:$D$50,$C$2,'Loan Entry'!$AB$47:$AB$50,"*Nov*",'Loan Entry'!$M$47:$M$50,'Loans to Cash Flows Wkst'!Q$2)+SUMIFS('Loan Entry'!$W$55:$W$58,'Loan Entry'!$D$55:$D$58,$C$2,'Loan Entry'!$AB$55:$AB$58,"*Nov*",'Loan Entry'!$M$55:$M$58,'Loans to Cash Flows Wkst'!Q$2)+SUMIFS('Loan Entry'!$W$39:$W$42,'Loan Entry'!$D$39:$D$42,$C$2,'Loan Entry'!$AB$39:$AB$42,"*Nov*",'Loan Entry'!$M$39:$M$42,'Loans to Cash Flows Wkst'!Q$2)</f>
        <v>0</v>
      </c>
    </row>
    <row r="14" spans="2:17" ht="13.5" thickBot="1" x14ac:dyDescent="0.25">
      <c r="B14" s="852" t="s">
        <v>196</v>
      </c>
      <c r="C14" s="858" t="s">
        <v>15</v>
      </c>
      <c r="D14" s="854">
        <f>SUM('Loans to Cash Flows Wkst'!$H14:$K14)</f>
        <v>0</v>
      </c>
      <c r="E14" s="765">
        <f>SUM('Loans to Cash Flows Wkst'!$N14:$Q14)</f>
        <v>0</v>
      </c>
      <c r="G14" s="852" t="s">
        <v>15</v>
      </c>
      <c r="H14" s="854">
        <f>SUMIFS('Loan Entry'!$V$15:$V$18,'Loan Entry'!$D$15:$D$18,$C$2,'Loan Entry'!$AB$15:$AB$18,$C14,'Loan Entry'!$M$15:$M$18,'Loans to Cash Flows Wkst'!H$2)+SUMIFS('Loan Entry'!$V$23:$V$26,'Loan Entry'!$D$23:$D$26,$C$2,'Loan Entry'!$AB$23:$AB$26,$C14,'Loan Entry'!$M$23:$M$26,'Loans to Cash Flows Wkst'!H$2)+SUMIFS('Loan Entry'!$V$31:$V$34,'Loan Entry'!$D$31:$D$34,$C$2,'Loan Entry'!$AB$31:$AB$34,$C14,'Loan Entry'!$M$31:$M$34,'Loans to Cash Flows Wkst'!H$2)+SUMIFS('Loan Entry'!$V$47:$V$50,'Loan Entry'!$D$47:$D$50,$C$2,'Loan Entry'!$AB$47:$AB$50,$C14,'Loan Entry'!$M$47:$M$50,'Loans to Cash Flows Wkst'!H$2) +SUMIFS('Loan Entry'!$V$55:$V$58,'Loan Entry'!$D$55:$D$58,$C$2,'Loan Entry'!$AB$55:$AB$58,$C14,'Loan Entry'!$M$55:$M$58,'Loans to Cash Flows Wkst'!H$2)+SUMIFS('Loan Entry'!$V$39:$V$42,'Loan Entry'!$D$39:$D$42,$C$2,'Loan Entry'!$AB$39:$AB$42,$C14,'Loan Entry'!$M$39:$M$42,'Loans to Cash Flows Wkst'!H$2)</f>
        <v>0</v>
      </c>
      <c r="I14" s="765">
        <f>SUMIFS('Loan Entry'!$V$15:$V$18,'Loan Entry'!$D$15:$D$18,$C$2,'Loan Entry'!$AB$15:$AB$18,"*Dec*",'Loan Entry'!$M$15:$M$18,'Loans to Cash Flows Wkst'!I$2)+SUMIFS('Loan Entry'!$V$23:$V$26,'Loan Entry'!$D$23:$D$26,$C$2,'Loan Entry'!$AB$23:$AB$26,"*Dec*",'Loan Entry'!$M$23:$M$26,'Loans to Cash Flows Wkst'!I$2)+SUMIFS('Loan Entry'!$V$31:$V$34,'Loan Entry'!$D$31:$D$34,$C$2,'Loan Entry'!$AB$31:$AB$34,"*Dec*",'Loan Entry'!$M$31:$M$34,'Loans to Cash Flows Wkst'!I$2)+SUMIFS('Loan Entry'!$V$47:$V$50,'Loan Entry'!$D$47:$D$50,$C$2,'Loan Entry'!$AB$47:$AB$50,"*Dec*",'Loan Entry'!$M$47:$M$50,'Loans to Cash Flows Wkst'!I$2)+SUMIFS('Loan Entry'!$V$55:$V$58,'Loan Entry'!$D$55:$D$58,$C$2,'Loan Entry'!$AB$55:$AB$58,"*Dec*",'Loan Entry'!$M$55:$M$58,'Loans to Cash Flows Wkst'!I$2)+SUMIFS('Loan Entry'!$V$39:$V$42,'Loan Entry'!$D$39:$D$42,$C$2,'Loan Entry'!$AB$39:$AB$42,"*Dec*",'Loan Entry'!$M$39:$M$42,'Loans to Cash Flows Wkst'!I$2)</f>
        <v>0</v>
      </c>
      <c r="J14" s="765">
        <f>SUMIFS('Loan Entry'!$V$15:$V$18,'Loan Entry'!$D$15:$D$18,$C$2,'Loan Entry'!$AB$15:$AB$18,"*Dec*",'Loan Entry'!$M$15:$M$18,'Loans to Cash Flows Wkst'!J$2)+SUMIFS('Loan Entry'!$V$23:$V$26,'Loan Entry'!$D$23:$D$26,$C$2,'Loan Entry'!$AB$23:$AB$26,"*Dec*",'Loan Entry'!$M$23:$M$26,'Loans to Cash Flows Wkst'!J$2)+SUMIFS('Loan Entry'!$V$31:$V$34,'Loan Entry'!$D$31:$D$34,$C$2,'Loan Entry'!$AB$31:$AB$34,"*Dec*",'Loan Entry'!$M$31:$M$34,'Loans to Cash Flows Wkst'!J$2)+SUMIFS('Loan Entry'!$V$47:$V$50,'Loan Entry'!$D$47:$D$50,$C$2,'Loan Entry'!$AB$47:$AB$50,"*Dec*",'Loan Entry'!$M$47:$M$50,'Loans to Cash Flows Wkst'!J$2) +SUMIFS('Loan Entry'!$V$55:$V$58,'Loan Entry'!$D$55:$D$58,$C$2,'Loan Entry'!$AB$55:$AB$58,"*Dec*",'Loan Entry'!$M$55:$M$58,'Loans to Cash Flows Wkst'!J$2)+SUMIFS('Loan Entry'!$V$39:$V$42,'Loan Entry'!$D$39:$D$42,$C$2,'Loan Entry'!$AB$39:$AB$42,"*Dec*",'Loan Entry'!$M$39:$M$42,'Loans to Cash Flows Wkst'!J$2)</f>
        <v>0</v>
      </c>
      <c r="K14" s="765">
        <f>SUMIFS('Loan Entry'!$V$15:$V$18,'Loan Entry'!$D$15:$D$18,$C$2,'Loan Entry'!$AB$15:$AB$18,"*Dec*",'Loan Entry'!$M$15:$M$18,'Loans to Cash Flows Wkst'!K$2)+SUMIFS('Loan Entry'!$V$23:$V$26,'Loan Entry'!$D$23:$D$26,$C$2,'Loan Entry'!$AB$23:$AB$26,"*Dec*",'Loan Entry'!$M$23:$M$26,'Loans to Cash Flows Wkst'!K$2)+SUMIFS('Loan Entry'!$V$31:$V$34,'Loan Entry'!$D$31:$D$34,$C$2,'Loan Entry'!$AB$31:$AB$34,"*Dec*",'Loan Entry'!$M$31:$M$34,'Loans to Cash Flows Wkst'!K$2)+SUMIFS('Loan Entry'!$V$47:$V$50,'Loan Entry'!$D$47:$D$50,$C$2,'Loan Entry'!$AB$47:$AB$50,"*Dec*",'Loan Entry'!$M$47:$M$50,'Loans to Cash Flows Wkst'!K$2) +SUMIFS('Loan Entry'!$V$55:$V$58,'Loan Entry'!$D$55:$D$58,$C$2,'Loan Entry'!$AB$55:$AB$58,"*Dec*",'Loan Entry'!$M$55:$M$58,'Loans to Cash Flows Wkst'!K$2)+SUMIFS('Loan Entry'!$V$39:$V$42,'Loan Entry'!$D$39:$D$42,$C$2,'Loan Entry'!$AB$39:$AB$42,"*Dec*",'Loan Entry'!$M$39:$M$42,'Loans to Cash Flows Wkst'!K$2)</f>
        <v>0</v>
      </c>
      <c r="M14" s="852" t="s">
        <v>15</v>
      </c>
      <c r="N14" s="765">
        <f>SUMIFS('Loan Entry'!$W$15:$W$18,'Loan Entry'!$D$15:$D$18,$C$2,'Loan Entry'!$AB$15:$AB$18,$C14,'Loan Entry'!$M$15:$M$18,'Loans to Cash Flows Wkst'!N$2)+SUMIFS('Loan Entry'!$W$23:$W$26,'Loan Entry'!$D$23:$D$26,$C$2,'Loan Entry'!$AB$23:$AB$26,$C14,'Loan Entry'!$M$23:$M$26,'Loans to Cash Flows Wkst'!N$2)+SUMIFS('Loan Entry'!$W$31:$W$34,'Loan Entry'!$D$31:$D$34,$C$2,'Loan Entry'!$AB$31:$AB$34,$C14,'Loan Entry'!$M$31:$M$34,'Loans to Cash Flows Wkst'!N$2)+SUMIFS('Loan Entry'!$W$47:$W$50,'Loan Entry'!$D$47:$D$50,$C$2,'Loan Entry'!$AB$47:$AB$50,$C14,'Loan Entry'!$M$47:$M$50,'Loans to Cash Flows Wkst'!N$2)+SUMIFS('Loan Entry'!$W$55:$W$58,'Loan Entry'!$D$55:$D$58,$C$2,'Loan Entry'!$AB$55:$AB$58,$C14,'Loan Entry'!$M$55:$M$58,'Loans to Cash Flows Wkst'!N$2)+SUMIFS('Loan Entry'!$W$39:$W$42,'Loan Entry'!$D$39:$D$42,$C$2,'Loan Entry'!$AB$39:$AB$42,$C14,'Loan Entry'!$M$39:$M$42,'Loans to Cash Flows Wkst'!N$2)</f>
        <v>0</v>
      </c>
      <c r="O14" s="765">
        <f>SUMIFS('Loan Entry'!$W$15:$W$18,'Loan Entry'!$D$15:$D$18,$C$2,'Loan Entry'!$AB$15:$AB$18,"*Dec*",'Loan Entry'!$M$15:$M$18,'Loans to Cash Flows Wkst'!O$2)+SUMIFS('Loan Entry'!$W$23:$W$26,'Loan Entry'!$D$23:$D$26,$C$2,'Loan Entry'!$AB$23:$AB$26,"*Dec*",'Loan Entry'!$M$23:$M$26,'Loans to Cash Flows Wkst'!O$2)+SUMIFS('Loan Entry'!$W$31:$W$34,'Loan Entry'!$D$31:$D$34,$C$2,'Loan Entry'!$AB$31:$AB$34,"*Dec*",'Loan Entry'!$M$31:$M$34,'Loans to Cash Flows Wkst'!O$2)+SUMIFS('Loan Entry'!$W$47:$W$50,'Loan Entry'!$D$47:$D$50,$C$2,'Loan Entry'!$AB$47:$AB$50,"*Dec*",'Loan Entry'!$M$47:$M$50,'Loans to Cash Flows Wkst'!O$2)+SUMIFS('Loan Entry'!$W$55:$W$58,'Loan Entry'!$D$55:$D$58,$C$2,'Loan Entry'!$AB$55:$AB$58,"*Dec*",'Loan Entry'!$M$55:$M$58,'Loans to Cash Flows Wkst'!O$2)+SUMIFS('Loan Entry'!$W$39:$W$42,'Loan Entry'!$D$39:$D$42,$C$2,'Loan Entry'!$AB$39:$AB$42,"*Dec*",'Loan Entry'!$M$39:$M$42,'Loans to Cash Flows Wkst'!O$2)</f>
        <v>0</v>
      </c>
      <c r="P14" s="765">
        <f>SUMIFS('Loan Entry'!$W$15:$W$18,'Loan Entry'!$D$15:$D$18,$C$2,'Loan Entry'!$AB$15:$AB$18,"*Dec*",'Loan Entry'!$M$15:$M$18,'Loans to Cash Flows Wkst'!P$2)+SUMIFS('Loan Entry'!$W$23:$W$26,'Loan Entry'!$D$23:$D$26,$C$2,'Loan Entry'!$AB$23:$AB$26,"*Dec*",'Loan Entry'!$M$23:$M$26,'Loans to Cash Flows Wkst'!P$2)+SUMIFS('Loan Entry'!$W$31:$W$34,'Loan Entry'!$D$31:$D$34,$C$2,'Loan Entry'!$AB$31:$AB$34,"*Dec*",'Loan Entry'!$M$31:$M$34,'Loans to Cash Flows Wkst'!P$2)+SUMIFS('Loan Entry'!$W$47:$W$50,'Loan Entry'!$D$47:$D$50,$C$2,'Loan Entry'!$AB$47:$AB$50,"*Dec*",'Loan Entry'!$M$47:$M$50,'Loans to Cash Flows Wkst'!P$2)+SUMIFS('Loan Entry'!$W$55:$W$58,'Loan Entry'!$D$55:$D$58,$C$2,'Loan Entry'!$AB$55:$AB$58,"*Dec*",'Loan Entry'!$M$55:$M$58,'Loans to Cash Flows Wkst'!P$2)+SUMIFS('Loan Entry'!$W$39:$W$42,'Loan Entry'!$D$39:$D$42,$C$2,'Loan Entry'!$AB$39:$AB$42,"*Dec*",'Loan Entry'!$M$39:$M$42,'Loans to Cash Flows Wkst'!P$2)</f>
        <v>0</v>
      </c>
      <c r="Q14" s="765">
        <f>SUMIFS('Loan Entry'!$W$15:$W$18,'Loan Entry'!$D$15:$D$18,$C$2,'Loan Entry'!$AB$15:$AB$18,"*Dec*",'Loan Entry'!$M$15:$M$18,'Loans to Cash Flows Wkst'!Q$2)+SUMIFS('Loan Entry'!$W$23:$W$26,'Loan Entry'!$D$23:$D$26,$C$2,'Loan Entry'!$AB$23:$AB$26,"*Dec*",'Loan Entry'!$M$23:$M$26,'Loans to Cash Flows Wkst'!Q$2)+SUMIFS('Loan Entry'!$W$31:$W$34,'Loan Entry'!$D$31:$D$34,$C$2,'Loan Entry'!$AB$31:$AB$34,"*Dec*",'Loan Entry'!$M$31:$M$34,'Loans to Cash Flows Wkst'!Q$2)+SUMIFS('Loan Entry'!$W$47:$W$50,'Loan Entry'!$D$47:$D$50,$C$2,'Loan Entry'!$AB$47:$AB$50,"*Dec*",'Loan Entry'!$M$47:$M$50,'Loans to Cash Flows Wkst'!Q$2)+SUMIFS('Loan Entry'!$W$55:$W$58,'Loan Entry'!$D$55:$D$58,$C$2,'Loan Entry'!$AB$55:$AB$58,"*Dec*",'Loan Entry'!$M$55:$M$58,'Loans to Cash Flows Wkst'!Q$2)+SUMIFS('Loan Entry'!$W$39:$W$42,'Loan Entry'!$D$39:$D$42,$C$2,'Loan Entry'!$AB$39:$AB$42,"*Dec*",'Loan Entry'!$M$39:$M$42,'Loans to Cash Flows Wkst'!Q$2)</f>
        <v>0</v>
      </c>
    </row>
    <row r="15" spans="2:17" ht="13.5" thickTop="1" x14ac:dyDescent="0.2">
      <c r="B15" s="859"/>
      <c r="C15" s="860"/>
      <c r="D15" s="861">
        <f>SUM('Loans to Cash Flows Wkst'!$D$3:$D$14)</f>
        <v>0</v>
      </c>
      <c r="E15" s="847">
        <f>SUM('Loans to Cash Flows Wkst'!$E$3:$E$14)</f>
        <v>0</v>
      </c>
      <c r="G15" s="864"/>
      <c r="H15" s="848">
        <f>SUM('Loans to Cash Flows Wkst'!$H$3:$H$14)</f>
        <v>0</v>
      </c>
      <c r="I15" s="848">
        <f>SUM('Loans to Cash Flows Wkst'!$I$3:$I$14)</f>
        <v>0</v>
      </c>
      <c r="J15" s="848">
        <f>SUM('Loans to Cash Flows Wkst'!$J$3:$J$14)</f>
        <v>0</v>
      </c>
      <c r="K15" s="848">
        <f>SUM('Loans to Cash Flows Wkst'!$K$3:$K$14)</f>
        <v>0</v>
      </c>
      <c r="M15" s="864"/>
      <c r="N15" s="848">
        <f>SUM('Loans to Cash Flows Wkst'!$N$3:$N$14)</f>
        <v>0</v>
      </c>
      <c r="O15" s="848">
        <f>SUM('Loans to Cash Flows Wkst'!$O$3:$O$14)</f>
        <v>0</v>
      </c>
      <c r="P15" s="848">
        <f>SUM('Loans to Cash Flows Wkst'!$P$3:$P$14)</f>
        <v>0</v>
      </c>
      <c r="Q15" s="848">
        <f>SUM('Loans to Cash Flows Wkst'!$Q$3:$Q$14)</f>
        <v>0</v>
      </c>
    </row>
    <row r="18" spans="2:17" ht="13.5" thickBot="1" x14ac:dyDescent="0.25">
      <c r="B18" s="438" t="s">
        <v>126</v>
      </c>
      <c r="C18" s="439" t="s">
        <v>177</v>
      </c>
      <c r="D18" s="439" t="s">
        <v>179</v>
      </c>
      <c r="E18" s="439" t="s">
        <v>180</v>
      </c>
      <c r="G18" s="438" t="s">
        <v>200</v>
      </c>
      <c r="H18" s="439" t="s">
        <v>105</v>
      </c>
      <c r="I18" s="439" t="s">
        <v>103</v>
      </c>
      <c r="J18" s="439" t="s">
        <v>101</v>
      </c>
      <c r="K18" s="439" t="s">
        <v>100</v>
      </c>
      <c r="L18" s="57"/>
      <c r="M18" s="438" t="s">
        <v>200</v>
      </c>
      <c r="N18" s="768" t="s">
        <v>105</v>
      </c>
      <c r="O18" s="768" t="s">
        <v>103</v>
      </c>
      <c r="P18" s="768" t="s">
        <v>101</v>
      </c>
      <c r="Q18" s="768" t="s">
        <v>100</v>
      </c>
    </row>
    <row r="19" spans="2:17" ht="13.5" thickTop="1" x14ac:dyDescent="0.2">
      <c r="B19" s="849" t="s">
        <v>186</v>
      </c>
      <c r="C19" s="850" t="s">
        <v>5</v>
      </c>
      <c r="D19" s="771">
        <f>SUM('Loans to Cash Flows Wkst'!$H19:$K19)</f>
        <v>0</v>
      </c>
      <c r="E19" s="771">
        <f>SUM('Loans to Cash Flows Wkst'!$N19:$Q19)</f>
        <v>0</v>
      </c>
      <c r="G19" s="862" t="s">
        <v>5</v>
      </c>
      <c r="H19" s="851">
        <f>SUMIFS('Loan Entry'!$V$15:$V$18,'Loan Entry'!$D$15:$D$18,$C$18,'Loan Entry'!$AB$15:$AB$18,$C19,'Loan Entry'!$M$15:$M$18,'Loans to Cash Flows Wkst'!H$2)+SUMIFS('Loan Entry'!$V$23:$V$26,'Loan Entry'!$D$23:$D$26,$C$18,'Loan Entry'!$AB$23:$AB$26,$C19,'Loan Entry'!$M$23:$M$26,'Loans to Cash Flows Wkst'!H$2)+SUMIFS('Loan Entry'!$V$31:$V$34,'Loan Entry'!$D$31:$D$34,$C$18,'Loan Entry'!$AB$31:$AB$34,$C19,'Loan Entry'!$M$31:$M$34,'Loans to Cash Flows Wkst'!H$2)+SUMIFS('Loan Entry'!$V$47:$V$50,'Loan Entry'!$D$47:$D$50,$C$18,'Loan Entry'!$AB$47:$AB$50,$C19,'Loan Entry'!$M$47:$M$50,'Loans to Cash Flows Wkst'!H$2) +SUMIFS('Loan Entry'!$V$55:$V$58,'Loan Entry'!$D$55:$D$58,$C$18,'Loan Entry'!$AB$55:$AB$58,$C19,'Loan Entry'!$M$55:$M$58,'Loans to Cash Flows Wkst'!H$2)+SUMIFS('Loan Entry'!$V$39:$V$42,'Loan Entry'!$D$39:$D$42,$C$18,'Loan Entry'!$AB$39:$AB$42,$C19,'Loan Entry'!$M$39:$M$42,'Loans to Cash Flows Wkst'!H$2)</f>
        <v>0</v>
      </c>
      <c r="I19" s="771">
        <f>SUMIFS('Loan Entry'!$V$15:$V$18,'Loan Entry'!$D$15:$D$18,$C$18,'Loan Entry'!$AB$15:$AB$18,"*Jan*",'Loan Entry'!$M$15:$M$18,'Loans to Cash Flows Wkst'!I$2)+SUMIFS('Loan Entry'!$V$23:$V$26,'Loan Entry'!$D$23:$D$26,$C$18,'Loan Entry'!$AB$23:$AB$26,"*Jan*",'Loan Entry'!$M$23:$M$26,'Loans to Cash Flows Wkst'!I$2)+SUMIFS('Loan Entry'!$V$31:$V$34,'Loan Entry'!$D$31:$D$34,$C$18,'Loan Entry'!$AB$31:$AB$34,"*Jan*",'Loan Entry'!$M$31:$M$34,'Loans to Cash Flows Wkst'!I$2)+SUMIFS('Loan Entry'!$V$47:$V$50,'Loan Entry'!$D$47:$D$50,$C$18,'Loan Entry'!$AB$47:$AB$50,"*Jan*",'Loan Entry'!$M$47:$M$50,'Loans to Cash Flows Wkst'!I$2)+SUMIFS('Loan Entry'!$V$55:$V$58,'Loan Entry'!$D$55:$D$58,$C$18,'Loan Entry'!$AB$55:$AB$58,"*Jan*",'Loan Entry'!$M$55:$M$58,'Loans to Cash Flows Wkst'!I$2)+SUMIFS('Loan Entry'!$V$39:$V$42,'Loan Entry'!$D$39:$D$42,$C$18,'Loan Entry'!$AB$39:$AB$42,"*Jan*",'Loan Entry'!$M$39:$M$42,'Loans to Cash Flows Wkst'!I$2)</f>
        <v>0</v>
      </c>
      <c r="J19" s="771">
        <f>SUMIFS('Loan Entry'!$V$15:$V$18,'Loan Entry'!$D$15:$D$18,$C$18,'Loan Entry'!$AB$15:$AB$18,"*Jan*",'Loan Entry'!$M$15:$M$18,'Loans to Cash Flows Wkst'!J$2)+SUMIFS('Loan Entry'!$V$23:$V$26,'Loan Entry'!$D$23:$D$26,$C$18,'Loan Entry'!$AB$23:$AB$26,"*Jan*",'Loan Entry'!$M$23:$M$26,'Loans to Cash Flows Wkst'!J$2)+SUMIFS('Loan Entry'!$V$31:$V$34,'Loan Entry'!$D$31:$D$34,$C$18,'Loan Entry'!$AB$31:$AB$34,"*Jan*",'Loan Entry'!$M$31:$M$34,'Loans to Cash Flows Wkst'!J$2)+SUMIFS('Loan Entry'!$V$47:$V$50,'Loan Entry'!$D$47:$D$50,$C$18,'Loan Entry'!$AB$47:$AB$50,"*Jan*",'Loan Entry'!$M$47:$M$50,'Loans to Cash Flows Wkst'!J$2) +SUMIFS('Loan Entry'!$V$55:$V$58,'Loan Entry'!$D$55:$D$58,$C$18,'Loan Entry'!$AB$55:$AB$58,"*Jan*",'Loan Entry'!$M$55:$M$58,'Loans to Cash Flows Wkst'!J$2)+SUMIFS('Loan Entry'!$V$39:$V$42,'Loan Entry'!$D$39:$D$42,$C$18,'Loan Entry'!$AB$39:$AB$42,"*Jan*",'Loan Entry'!$M$39:$M$42,'Loans to Cash Flows Wkst'!J$2)</f>
        <v>0</v>
      </c>
      <c r="K19" s="771">
        <f>SUMIFS('Loan Entry'!$V$15:$V$18,'Loan Entry'!$D$15:$D$18,$C$18,'Loan Entry'!$AB$15:$AB$18,"*Jan*",'Loan Entry'!$M$15:$M$18,'Loans to Cash Flows Wkst'!K$2)+SUMIFS('Loan Entry'!$V$23:$V$26,'Loan Entry'!$D$23:$D$26,$C$18,'Loan Entry'!$AB$23:$AB$26,"*Jan*",'Loan Entry'!$M$23:$M$26,'Loans to Cash Flows Wkst'!K$2)+SUMIFS('Loan Entry'!$V$31:$V$34,'Loan Entry'!$D$31:$D$34,$C$18,'Loan Entry'!$AB$31:$AB$34,"*Jan*",'Loan Entry'!$M$31:$M$34,'Loans to Cash Flows Wkst'!K$2)+SUMIFS('Loan Entry'!$V$47:$V$50,'Loan Entry'!$D$47:$D$50,$C$18,'Loan Entry'!$AB$47:$AB$50,"*Jan*",'Loan Entry'!$M$47:$M$50,'Loans to Cash Flows Wkst'!K$2) +SUMIFS('Loan Entry'!$V$55:$V$58,'Loan Entry'!$D$55:$D$58,$C$18,'Loan Entry'!$AB$55:$AB$58,"*Jan*",'Loan Entry'!$M$55:$M$58,'Loans to Cash Flows Wkst'!K$2)+SUMIFS('Loan Entry'!$V$39:$V$42,'Loan Entry'!$D$39:$D$42,$C$18,'Loan Entry'!$AB$39:$AB$42,"*Jan*",'Loan Entry'!$M$39:$M$42,'Loans to Cash Flows Wkst'!K$2)</f>
        <v>0</v>
      </c>
      <c r="M19" s="862" t="s">
        <v>5</v>
      </c>
      <c r="N19" s="771">
        <f>SUMIFS('Loan Entry'!$W$15:$W$18,'Loan Entry'!$D$15:$D$18,$C$18,'Loan Entry'!$AB$15:$AB$18,$C19,'Loan Entry'!$M$15:$M$18,'Loans to Cash Flows Wkst'!N$2)+SUMIFS('Loan Entry'!$W$23:$W$26,'Loan Entry'!$D$23:$D$26,$C$18,'Loan Entry'!$AB$23:$AB$26,$C19,'Loan Entry'!$M$23:$M$26,'Loans to Cash Flows Wkst'!N$2)+SUMIFS('Loan Entry'!$W$31:$W$34,'Loan Entry'!$D$31:$D$34,$C$18,'Loan Entry'!$AB$31:$AB$34,$C19,'Loan Entry'!$M$31:$M$34,'Loans to Cash Flows Wkst'!N$2)+SUMIFS('Loan Entry'!$W$47:$W$50,'Loan Entry'!$D$47:$D$50,$C$18,'Loan Entry'!$AB$47:$AB$50,$C19,'Loan Entry'!$M$47:$M$50,'Loans to Cash Flows Wkst'!N$2)+SUMIFS('Loan Entry'!$W$55:$W$58,'Loan Entry'!$D$55:$D$58,$C$18,'Loan Entry'!$AB$55:$AB$58,$C19,'Loan Entry'!$M$55:$M$58,'Loans to Cash Flows Wkst'!N$2)+SUMIFS('Loan Entry'!$W$39:$W$42,'Loan Entry'!$D$39:$D$42,$C$18,'Loan Entry'!$AB$39:$AB$42,$C19,'Loan Entry'!$M$39:$M$42,'Loans to Cash Flows Wkst'!N$2)</f>
        <v>0</v>
      </c>
      <c r="O19" s="771">
        <f>SUMIFS('Loan Entry'!$W$15:$W$18,'Loan Entry'!$D$15:$D$18,$C$18,'Loan Entry'!$AB$15:$AB$18,"*Jan*",'Loan Entry'!$M$15:$M$18,'Loans to Cash Flows Wkst'!O$2)+SUMIFS('Loan Entry'!$W$23:$W$26,'Loan Entry'!$D$23:$D$26,$C$18,'Loan Entry'!$AB$23:$AB$26,"*Jan*",'Loan Entry'!$M$23:$M$26,'Loans to Cash Flows Wkst'!O$2)+SUMIFS('Loan Entry'!$W$31:$W$34,'Loan Entry'!$D$31:$D$34,$C$18,'Loan Entry'!$AB$31:$AB$34,"*Jan*",'Loan Entry'!$M$31:$M$34,'Loans to Cash Flows Wkst'!O$2)+SUMIFS('Loan Entry'!$W$47:$W$50,'Loan Entry'!$D$47:$D$50,$C$18,'Loan Entry'!$AB$47:$AB$50,"*Jan*",'Loan Entry'!$M$47:$M$50,'Loans to Cash Flows Wkst'!O$2)+SUMIFS('Loan Entry'!$W$55:$W$58,'Loan Entry'!$D$55:$D$58,$C$18,'Loan Entry'!$AB$55:$AB$58,"*Jan*",'Loan Entry'!$M$55:$M$58,'Loans to Cash Flows Wkst'!O$2)+SUMIFS('Loan Entry'!$W$39:$W$42,'Loan Entry'!$D$39:$D$42,$C$18,'Loan Entry'!$AB$39:$AB$42,"*Jan*",'Loan Entry'!$M$39:$M$42,'Loans to Cash Flows Wkst'!O$2)</f>
        <v>0</v>
      </c>
      <c r="P19" s="771">
        <f>SUMIFS('Loan Entry'!$W$15:$W$18,'Loan Entry'!$D$15:$D$18,$C$18,'Loan Entry'!$AB$15:$AB$18,"*Jan*",'Loan Entry'!$M$15:$M$18,'Loans to Cash Flows Wkst'!P$2)+SUMIFS('Loan Entry'!$W$23:$W$26,'Loan Entry'!$D$23:$D$26,$C$18,'Loan Entry'!$AB$23:$AB$26,"*Jan*",'Loan Entry'!$M$23:$M$26,'Loans to Cash Flows Wkst'!P$2)+SUMIFS('Loan Entry'!$W$31:$W$34,'Loan Entry'!$D$31:$D$34,$C$18,'Loan Entry'!$AB$31:$AB$34,"*Jan*",'Loan Entry'!$M$31:$M$34,'Loans to Cash Flows Wkst'!P$2)+SUMIFS('Loan Entry'!$W$47:$W$50,'Loan Entry'!$D$47:$D$50,$C$18,'Loan Entry'!$AB$47:$AB$50,"*Jan*",'Loan Entry'!$M$47:$M$50,'Loans to Cash Flows Wkst'!P$2)+SUMIFS('Loan Entry'!$W$55:$W$58,'Loan Entry'!$D$55:$D$58,$C$18,'Loan Entry'!$AB$55:$AB$58,"*Jan*",'Loan Entry'!$M$55:$M$58,'Loans to Cash Flows Wkst'!P$2)+SUMIFS('Loan Entry'!$W$39:$W$42,'Loan Entry'!$D$39:$D$42,$C$18,'Loan Entry'!$AB$39:$AB$42,"*Jan*",'Loan Entry'!$M$39:$M$42,'Loans to Cash Flows Wkst'!P$2)</f>
        <v>0</v>
      </c>
      <c r="Q19" s="771">
        <f>SUMIFS('Loan Entry'!$W$15:$W$18,'Loan Entry'!$D$15:$D$18,$C$18,'Loan Entry'!$AB$15:$AB$18,"*Jan*",'Loan Entry'!$M$15:$M$18,'Loans to Cash Flows Wkst'!Q$2)+SUMIFS('Loan Entry'!$W$23:$W$26,'Loan Entry'!$D$23:$D$26,$C$18,'Loan Entry'!$AB$23:$AB$26,"*Jan*",'Loan Entry'!$M$23:$M$26,'Loans to Cash Flows Wkst'!Q$2)+SUMIFS('Loan Entry'!$W$31:$W$34,'Loan Entry'!$D$31:$D$34,$C$18,'Loan Entry'!$AB$31:$AB$34,"*Jan*",'Loan Entry'!$M$31:$M$34,'Loans to Cash Flows Wkst'!Q$2)+SUMIFS('Loan Entry'!$W$47:$W$50,'Loan Entry'!$D$47:$D$50,$C$18,'Loan Entry'!$AB$47:$AB$50,"*Jan*",'Loan Entry'!$M$47:$M$50,'Loans to Cash Flows Wkst'!Q$2)+SUMIFS('Loan Entry'!$W$55:$W$58,'Loan Entry'!$D$55:$D$58,$C$18,'Loan Entry'!$AB$55:$AB$58,"*Jan*",'Loan Entry'!$M$55:$M$58,'Loans to Cash Flows Wkst'!Q$2)+SUMIFS('Loan Entry'!$W$39:$W$42,'Loan Entry'!$D$39:$D$42,$C$18,'Loan Entry'!$AB$39:$AB$42,"*Jan*",'Loan Entry'!$M$39:$M$42,'Loans to Cash Flows Wkst'!Q$2)</f>
        <v>0</v>
      </c>
    </row>
    <row r="20" spans="2:17" x14ac:dyDescent="0.2">
      <c r="B20" s="852" t="s">
        <v>187</v>
      </c>
      <c r="C20" s="853" t="s">
        <v>6</v>
      </c>
      <c r="D20" s="765">
        <f>SUM('Loans to Cash Flows Wkst'!$H20:$K20)</f>
        <v>0</v>
      </c>
      <c r="E20" s="765">
        <f>SUM('Loans to Cash Flows Wkst'!$N20:$Q20)</f>
        <v>0</v>
      </c>
      <c r="G20" s="863" t="s">
        <v>6</v>
      </c>
      <c r="H20" s="854">
        <f>SUMIFS('Loan Entry'!$V$15:$V$18,'Loan Entry'!$D$15:$D$18,$C$18,'Loan Entry'!$AB$15:$AB$18,$C20,'Loan Entry'!$M$15:$M$18,'Loans to Cash Flows Wkst'!H$2)+SUMIFS('Loan Entry'!$V$23:$V$26,'Loan Entry'!$D$23:$D$26,$C$18,'Loan Entry'!$AB$23:$AB$26,$C20,'Loan Entry'!$M$23:$M$26,'Loans to Cash Flows Wkst'!H$2)+SUMIFS('Loan Entry'!$V$31:$V$34,'Loan Entry'!$D$31:$D$34,$C$18,'Loan Entry'!$AB$31:$AB$34,$C20,'Loan Entry'!$M$31:$M$34,'Loans to Cash Flows Wkst'!H$2)+SUMIFS('Loan Entry'!$V$47:$V$50,'Loan Entry'!$D$47:$D$50,$C$18,'Loan Entry'!$AB$47:$AB$50,$C20,'Loan Entry'!$M$47:$M$50,'Loans to Cash Flows Wkst'!H$2) +SUMIFS('Loan Entry'!$V$55:$V$58,'Loan Entry'!$D$55:$D$58,$C$18,'Loan Entry'!$AB$55:$AB$58,$C20,'Loan Entry'!$M$55:$M$58,'Loans to Cash Flows Wkst'!H$2)+SUMIFS('Loan Entry'!$V$39:$V$42,'Loan Entry'!$D$39:$D$42,$C$18,'Loan Entry'!$AB$39:$AB$42,$C20,'Loan Entry'!$M$39:$M$42,'Loans to Cash Flows Wkst'!H$2)</f>
        <v>0</v>
      </c>
      <c r="I20" s="765">
        <f>SUMIFS('Loan Entry'!$V$15:$V$18,'Loan Entry'!$D$15:$D$18,$C$18,'Loan Entry'!$AB$15:$AB$18,"*Feb*",'Loan Entry'!$M$15:$M$18,'Loans to Cash Flows Wkst'!I$2)+SUMIFS('Loan Entry'!$V$23:$V$26,'Loan Entry'!$D$23:$D$26,$C$18,'Loan Entry'!$AB$23:$AB$26,"*Feb*",'Loan Entry'!$M$23:$M$26,'Loans to Cash Flows Wkst'!I$2)+SUMIFS('Loan Entry'!$V$31:$V$34,'Loan Entry'!$D$31:$D$34,$C$18,'Loan Entry'!$AB$31:$AB$34,"*Feb*",'Loan Entry'!$M$31:$M$34,'Loans to Cash Flows Wkst'!I$2)+SUMIFS('Loan Entry'!$V$47:$V$50,'Loan Entry'!$D$47:$D$50,$C$18,'Loan Entry'!$AB$47:$AB$50,"*Feb*",'Loan Entry'!$M$47:$M$50,'Loans to Cash Flows Wkst'!I$2)+SUMIFS('Loan Entry'!$V$55:$V$58,'Loan Entry'!$D$55:$D$58,$C$18,'Loan Entry'!$AB$55:$AB$58,"*Feb*",'Loan Entry'!$M$55:$M$58,'Loans to Cash Flows Wkst'!I$2)+SUMIFS('Loan Entry'!$V$39:$V$42,'Loan Entry'!$D$39:$D$42,$C$18,'Loan Entry'!$AB$39:$AB$42,"*Feb*",'Loan Entry'!$M$39:$M$42,'Loans to Cash Flows Wkst'!I$2)</f>
        <v>0</v>
      </c>
      <c r="J20" s="765">
        <f>SUMIFS('Loan Entry'!$V$15:$V$18,'Loan Entry'!$D$15:$D$18,$C$18,'Loan Entry'!$AB$15:$AB$18,"*Feb*",'Loan Entry'!$M$15:$M$18,'Loans to Cash Flows Wkst'!J$2)+SUMIFS('Loan Entry'!$V$23:$V$26,'Loan Entry'!$D$23:$D$26,$C$18,'Loan Entry'!$AB$23:$AB$26,"*Feb*",'Loan Entry'!$M$23:$M$26,'Loans to Cash Flows Wkst'!J$2)+SUMIFS('Loan Entry'!$V$31:$V$34,'Loan Entry'!$D$31:$D$34,$C$18,'Loan Entry'!$AB$31:$AB$34,"*Feb*",'Loan Entry'!$M$31:$M$34,'Loans to Cash Flows Wkst'!J$2)+SUMIFS('Loan Entry'!$V$47:$V$50,'Loan Entry'!$D$47:$D$50,$C$18,'Loan Entry'!$AB$47:$AB$50,"*Feb*",'Loan Entry'!$M$47:$M$50,'Loans to Cash Flows Wkst'!J$2) +SUMIFS('Loan Entry'!$V$55:$V$58,'Loan Entry'!$D$55:$D$58,$C$18,'Loan Entry'!$AB$55:$AB$58,"*Feb*",'Loan Entry'!$M$55:$M$58,'Loans to Cash Flows Wkst'!J$2)+SUMIFS('Loan Entry'!$V$39:$V$42,'Loan Entry'!$D$39:$D$42,$C$18,'Loan Entry'!$AB$39:$AB$42,"*Feb*",'Loan Entry'!$M$39:$M$42,'Loans to Cash Flows Wkst'!J$2)</f>
        <v>0</v>
      </c>
      <c r="K20" s="765">
        <f>SUMIFS('Loan Entry'!$V$15:$V$18,'Loan Entry'!$D$15:$D$18,$C$18,'Loan Entry'!$AB$15:$AB$18,"*Feb*",'Loan Entry'!$M$15:$M$18,'Loans to Cash Flows Wkst'!K$2)+SUMIFS('Loan Entry'!$V$23:$V$26,'Loan Entry'!$D$23:$D$26,$C$18,'Loan Entry'!$AB$23:$AB$26,"*Feb*",'Loan Entry'!$M$23:$M$26,'Loans to Cash Flows Wkst'!K$2)+SUMIFS('Loan Entry'!$V$31:$V$34,'Loan Entry'!$D$31:$D$34,$C$18,'Loan Entry'!$AB$31:$AB$34,"*Feb*",'Loan Entry'!$M$31:$M$34,'Loans to Cash Flows Wkst'!K$2)+SUMIFS('Loan Entry'!$V$47:$V$50,'Loan Entry'!$D$47:$D$50,$C$18,'Loan Entry'!$AB$47:$AB$50,"*Feb*",'Loan Entry'!$M$47:$M$50,'Loans to Cash Flows Wkst'!K$2) +SUMIFS('Loan Entry'!$V$55:$V$58,'Loan Entry'!$D$55:$D$58,$C$18,'Loan Entry'!$AB$55:$AB$58,"*Feb*",'Loan Entry'!$M$55:$M$58,'Loans to Cash Flows Wkst'!K$2)+SUMIFS('Loan Entry'!$V$39:$V$42,'Loan Entry'!$D$39:$D$42,$C$18,'Loan Entry'!$AB$39:$AB$42,"*Feb*",'Loan Entry'!$M$39:$M$42,'Loans to Cash Flows Wkst'!K$2)</f>
        <v>0</v>
      </c>
      <c r="M20" s="863" t="s">
        <v>6</v>
      </c>
      <c r="N20" s="765">
        <f>SUMIFS('Loan Entry'!$W$15:$W$18,'Loan Entry'!$D$15:$D$18,$C$18,'Loan Entry'!$AB$15:$AB$18,$C20,'Loan Entry'!$M$15:$M$18,'Loans to Cash Flows Wkst'!N$2)+SUMIFS('Loan Entry'!$W$23:$W$26,'Loan Entry'!$D$23:$D$26,$C$18,'Loan Entry'!$AB$23:$AB$26,$C20,'Loan Entry'!$M$23:$M$26,'Loans to Cash Flows Wkst'!N$2)+SUMIFS('Loan Entry'!$W$31:$W$34,'Loan Entry'!$D$31:$D$34,$C$18,'Loan Entry'!$AB$31:$AB$34,$C20,'Loan Entry'!$M$31:$M$34,'Loans to Cash Flows Wkst'!N$2)+SUMIFS('Loan Entry'!$W$47:$W$50,'Loan Entry'!$D$47:$D$50,$C$18,'Loan Entry'!$AB$47:$AB$50,$C20,'Loan Entry'!$M$47:$M$50,'Loans to Cash Flows Wkst'!N$2)+SUMIFS('Loan Entry'!$W$55:$W$58,'Loan Entry'!$D$55:$D$58,$C$18,'Loan Entry'!$AB$55:$AB$58,$C20,'Loan Entry'!$M$55:$M$58,'Loans to Cash Flows Wkst'!N$2)+SUMIFS('Loan Entry'!$W$39:$W$42,'Loan Entry'!$D$39:$D$42,$C$18,'Loan Entry'!$AB$39:$AB$42,$C20,'Loan Entry'!$M$39:$M$42,'Loans to Cash Flows Wkst'!N$2)</f>
        <v>0</v>
      </c>
      <c r="O20" s="765">
        <f>SUMIFS('Loan Entry'!$W$15:$W$18,'Loan Entry'!$D$15:$D$18,$C$18,'Loan Entry'!$AB$15:$AB$18,"*Feb*",'Loan Entry'!$M$15:$M$18,'Loans to Cash Flows Wkst'!O$2)+SUMIFS('Loan Entry'!$W$23:$W$26,'Loan Entry'!$D$23:$D$26,$C$18,'Loan Entry'!$AB$23:$AB$26,"*Feb*",'Loan Entry'!$M$23:$M$26,'Loans to Cash Flows Wkst'!O$2)+SUMIFS('Loan Entry'!$W$31:$W$34,'Loan Entry'!$D$31:$D$34,$C$18,'Loan Entry'!$AB$31:$AB$34,"*Feb*",'Loan Entry'!$M$31:$M$34,'Loans to Cash Flows Wkst'!O$2)+SUMIFS('Loan Entry'!$W$47:$W$50,'Loan Entry'!$D$47:$D$50,$C$18,'Loan Entry'!$AB$47:$AB$50,"*Feb*",'Loan Entry'!$M$47:$M$50,'Loans to Cash Flows Wkst'!O$2)+SUMIFS('Loan Entry'!$W$55:$W$58,'Loan Entry'!$D$55:$D$58,$C$18,'Loan Entry'!$AB$55:$AB$58,"*Feb*",'Loan Entry'!$M$55:$M$58,'Loans to Cash Flows Wkst'!O$2)+SUMIFS('Loan Entry'!$W$39:$W$42,'Loan Entry'!$D$39:$D$42,$C$18,'Loan Entry'!$AB$39:$AB$42,"*Feb*",'Loan Entry'!$M$39:$M$42,'Loans to Cash Flows Wkst'!O$2)</f>
        <v>0</v>
      </c>
      <c r="P20" s="765">
        <f>SUMIFS('Loan Entry'!$W$15:$W$18,'Loan Entry'!$D$15:$D$18,$C$18,'Loan Entry'!$AB$15:$AB$18,"*Feb*",'Loan Entry'!$M$15:$M$18,'Loans to Cash Flows Wkst'!P$2)+SUMIFS('Loan Entry'!$W$23:$W$26,'Loan Entry'!$D$23:$D$26,$C$18,'Loan Entry'!$AB$23:$AB$26,"*Feb*",'Loan Entry'!$M$23:$M$26,'Loans to Cash Flows Wkst'!P$2)+SUMIFS('Loan Entry'!$W$31:$W$34,'Loan Entry'!$D$31:$D$34,$C$18,'Loan Entry'!$AB$31:$AB$34,"*Feb*",'Loan Entry'!$M$31:$M$34,'Loans to Cash Flows Wkst'!P$2)+SUMIFS('Loan Entry'!$W$47:$W$50,'Loan Entry'!$D$47:$D$50,$C$18,'Loan Entry'!$AB$47:$AB$50,"*Feb*",'Loan Entry'!$M$47:$M$50,'Loans to Cash Flows Wkst'!P$2)+SUMIFS('Loan Entry'!$W$55:$W$58,'Loan Entry'!$D$55:$D$58,$C$18,'Loan Entry'!$AB$55:$AB$58,"*Feb*",'Loan Entry'!$M$55:$M$58,'Loans to Cash Flows Wkst'!P$2)+SUMIFS('Loan Entry'!$W$39:$W$42,'Loan Entry'!$D$39:$D$42,$C$18,'Loan Entry'!$AB$39:$AB$42,"*Feb*",'Loan Entry'!$M$39:$M$42,'Loans to Cash Flows Wkst'!P$2)</f>
        <v>0</v>
      </c>
      <c r="Q20" s="765">
        <f>SUMIFS('Loan Entry'!$W$15:$W$18,'Loan Entry'!$D$15:$D$18,$C$18,'Loan Entry'!$AB$15:$AB$18,"*Feb*",'Loan Entry'!$M$15:$M$18,'Loans to Cash Flows Wkst'!Q$2)+SUMIFS('Loan Entry'!$W$23:$W$26,'Loan Entry'!$D$23:$D$26,$C$18,'Loan Entry'!$AB$23:$AB$26,"*Feb*",'Loan Entry'!$M$23:$M$26,'Loans to Cash Flows Wkst'!Q$2)+SUMIFS('Loan Entry'!$W$31:$W$34,'Loan Entry'!$D$31:$D$34,$C$18,'Loan Entry'!$AB$31:$AB$34,"*Feb*",'Loan Entry'!$M$31:$M$34,'Loans to Cash Flows Wkst'!Q$2)+SUMIFS('Loan Entry'!$W$47:$W$50,'Loan Entry'!$D$47:$D$50,$C$18,'Loan Entry'!$AB$47:$AB$50,"*Feb*",'Loan Entry'!$M$47:$M$50,'Loans to Cash Flows Wkst'!Q$2)+SUMIFS('Loan Entry'!$W$55:$W$58,'Loan Entry'!$D$55:$D$58,$C$18,'Loan Entry'!$AB$55:$AB$58,"*Feb*",'Loan Entry'!$M$55:$M$58,'Loans to Cash Flows Wkst'!Q$2)+SUMIFS('Loan Entry'!$W$39:$W$42,'Loan Entry'!$D$39:$D$42,$C$18,'Loan Entry'!$AB$39:$AB$42,"*Feb*",'Loan Entry'!$M$39:$M$42,'Loans to Cash Flows Wkst'!Q$2)</f>
        <v>0</v>
      </c>
    </row>
    <row r="21" spans="2:17" x14ac:dyDescent="0.2">
      <c r="B21" s="855" t="s">
        <v>188</v>
      </c>
      <c r="C21" s="856" t="s">
        <v>7</v>
      </c>
      <c r="D21" s="764">
        <f>SUM('Loans to Cash Flows Wkst'!$H21:$K21)</f>
        <v>0</v>
      </c>
      <c r="E21" s="764">
        <f>SUM('Loans to Cash Flows Wkst'!$N21:$Q21)</f>
        <v>0</v>
      </c>
      <c r="G21" s="855" t="s">
        <v>7</v>
      </c>
      <c r="H21" s="857">
        <f>SUMIFS('Loan Entry'!$V$15:$V$18,'Loan Entry'!$D$15:$D$18,$C$18,'Loan Entry'!$AB$15:$AB$18,$C21,'Loan Entry'!$M$15:$M$18,'Loans to Cash Flows Wkst'!H$2)+SUMIFS('Loan Entry'!$V$23:$V$26,'Loan Entry'!$D$23:$D$26,$C$18,'Loan Entry'!$AB$23:$AB$26,$C21,'Loan Entry'!$M$23:$M$26,'Loans to Cash Flows Wkst'!H$2)+SUMIFS('Loan Entry'!$V$31:$V$34,'Loan Entry'!$D$31:$D$34,$C$18,'Loan Entry'!$AB$31:$AB$34,$C21,'Loan Entry'!$M$31:$M$34,'Loans to Cash Flows Wkst'!H$2)+SUMIFS('Loan Entry'!$V$47:$V$50,'Loan Entry'!$D$47:$D$50,$C$18,'Loan Entry'!$AB$47:$AB$50,$C21,'Loan Entry'!$M$47:$M$50,'Loans to Cash Flows Wkst'!H$2) +SUMIFS('Loan Entry'!$V$55:$V$58,'Loan Entry'!$D$55:$D$58,$C$18,'Loan Entry'!$AB$55:$AB$58,$C21,'Loan Entry'!$M$55:$M$58,'Loans to Cash Flows Wkst'!H$2)+SUMIFS('Loan Entry'!$V$39:$V$42,'Loan Entry'!$D$39:$D$42,$C$18,'Loan Entry'!$AB$39:$AB$42,$C21,'Loan Entry'!$M$39:$M$42,'Loans to Cash Flows Wkst'!H$2)</f>
        <v>0</v>
      </c>
      <c r="I21" s="764">
        <f>SUMIFS('Loan Entry'!$V$15:$V$18,'Loan Entry'!$D$15:$D$18,$C$18,'Loan Entry'!$AB$15:$AB$18,"*Mar*",'Loan Entry'!$M$15:$M$18,'Loans to Cash Flows Wkst'!I$2)+SUMIFS('Loan Entry'!$V$23:$V$26,'Loan Entry'!$D$23:$D$26,$C$18,'Loan Entry'!$AB$23:$AB$26,"*Mar*",'Loan Entry'!$M$23:$M$26,'Loans to Cash Flows Wkst'!I$2)+SUMIFS('Loan Entry'!$V$31:$V$34,'Loan Entry'!$D$31:$D$34,$C$18,'Loan Entry'!$AB$31:$AB$34,"*Mar*",'Loan Entry'!$M$31:$M$34,'Loans to Cash Flows Wkst'!I$2)+SUMIFS('Loan Entry'!$V$47:$V$50,'Loan Entry'!$D$47:$D$50,$C$18,'Loan Entry'!$AB$47:$AB$50,"*Mar*",'Loan Entry'!$M$47:$M$50,'Loans to Cash Flows Wkst'!I$2)+SUMIFS('Loan Entry'!$V$55:$V$58,'Loan Entry'!$D$55:$D$58,$C$18,'Loan Entry'!$AB$55:$AB$58,"*Mar*",'Loan Entry'!$M$55:$M$58,'Loans to Cash Flows Wkst'!I$2)+SUMIFS('Loan Entry'!$V$39:$V$42,'Loan Entry'!$D$39:$D$42,$C$18,'Loan Entry'!$AB$39:$AB$42,"*Mar*",'Loan Entry'!$M$39:$M$42,'Loans to Cash Flows Wkst'!I$2)</f>
        <v>0</v>
      </c>
      <c r="J21" s="764">
        <f>SUMIFS('Loan Entry'!$V$15:$V$18,'Loan Entry'!$D$15:$D$18,$C$18,'Loan Entry'!$AB$15:$AB$18,"*Mar*",'Loan Entry'!$M$15:$M$18,'Loans to Cash Flows Wkst'!J$2)+SUMIFS('Loan Entry'!$V$23:$V$26,'Loan Entry'!$D$23:$D$26,$C$18,'Loan Entry'!$AB$23:$AB$26,"*Mar*",'Loan Entry'!$M$23:$M$26,'Loans to Cash Flows Wkst'!J$2)+SUMIFS('Loan Entry'!$V$31:$V$34,'Loan Entry'!$D$31:$D$34,$C$18,'Loan Entry'!$AB$31:$AB$34,"*Mar*",'Loan Entry'!$M$31:$M$34,'Loans to Cash Flows Wkst'!J$2)+SUMIFS('Loan Entry'!$V$47:$V$50,'Loan Entry'!$D$47:$D$50,$C$18,'Loan Entry'!$AB$47:$AB$50,"*Mar*",'Loan Entry'!$M$47:$M$50,'Loans to Cash Flows Wkst'!J$2) +SUMIFS('Loan Entry'!$V$55:$V$58,'Loan Entry'!$D$55:$D$58,$C$18,'Loan Entry'!$AB$55:$AB$58,"*Mar*",'Loan Entry'!$M$55:$M$58,'Loans to Cash Flows Wkst'!J$2)+SUMIFS('Loan Entry'!$V$39:$V$42,'Loan Entry'!$D$39:$D$42,$C$18,'Loan Entry'!$AB$39:$AB$42,"*Mar*",'Loan Entry'!$M$39:$M$42,'Loans to Cash Flows Wkst'!J$2)</f>
        <v>0</v>
      </c>
      <c r="K21" s="764">
        <f>SUMIFS('Loan Entry'!$V$15:$V$18,'Loan Entry'!$D$15:$D$18,$C$18,'Loan Entry'!$AB$15:$AB$18,"*Mar*",'Loan Entry'!$M$15:$M$18,'Loans to Cash Flows Wkst'!K$2)+SUMIFS('Loan Entry'!$V$23:$V$26,'Loan Entry'!$D$23:$D$26,$C$18,'Loan Entry'!$AB$23:$AB$26,"*Mar*",'Loan Entry'!$M$23:$M$26,'Loans to Cash Flows Wkst'!K$2)+SUMIFS('Loan Entry'!$V$31:$V$34,'Loan Entry'!$D$31:$D$34,$C$18,'Loan Entry'!$AB$31:$AB$34,"*Mar*",'Loan Entry'!$M$31:$M$34,'Loans to Cash Flows Wkst'!K$2)+SUMIFS('Loan Entry'!$V$47:$V$50,'Loan Entry'!$D$47:$D$50,$C$18,'Loan Entry'!$AB$47:$AB$50,"*Mar*",'Loan Entry'!$M$47:$M$50,'Loans to Cash Flows Wkst'!K$2) +SUMIFS('Loan Entry'!$V$55:$V$58,'Loan Entry'!$D$55:$D$58,$C$18,'Loan Entry'!$AB$55:$AB$58,"*Mar*",'Loan Entry'!$M$55:$M$58,'Loans to Cash Flows Wkst'!K$2)+SUMIFS('Loan Entry'!$V$39:$V$42,'Loan Entry'!$D$39:$D$42,$C$18,'Loan Entry'!$AB$39:$AB$42,"*Mar*",'Loan Entry'!$M$39:$M$42,'Loans to Cash Flows Wkst'!K$2)</f>
        <v>0</v>
      </c>
      <c r="M21" s="855" t="s">
        <v>7</v>
      </c>
      <c r="N21" s="764">
        <f>SUMIFS('Loan Entry'!$W$15:$W$18,'Loan Entry'!$D$15:$D$18,$C$18,'Loan Entry'!$AB$15:$AB$18,$C21,'Loan Entry'!$M$15:$M$18,'Loans to Cash Flows Wkst'!N$2)+SUMIFS('Loan Entry'!$W$23:$W$26,'Loan Entry'!$D$23:$D$26,$C$18,'Loan Entry'!$AB$23:$AB$26,$C21,'Loan Entry'!$M$23:$M$26,'Loans to Cash Flows Wkst'!N$2)+SUMIFS('Loan Entry'!$W$31:$W$34,'Loan Entry'!$D$31:$D$34,$C$18,'Loan Entry'!$AB$31:$AB$34,$C21,'Loan Entry'!$M$31:$M$34,'Loans to Cash Flows Wkst'!N$2)+SUMIFS('Loan Entry'!$W$47:$W$50,'Loan Entry'!$D$47:$D$50,$C$18,'Loan Entry'!$AB$47:$AB$50,$C21,'Loan Entry'!$M$47:$M$50,'Loans to Cash Flows Wkst'!N$2)+SUMIFS('Loan Entry'!$W$55:$W$58,'Loan Entry'!$D$55:$D$58,$C$18,'Loan Entry'!$AB$55:$AB$58,$C21,'Loan Entry'!$M$55:$M$58,'Loans to Cash Flows Wkst'!N$2)+SUMIFS('Loan Entry'!$W$39:$W$42,'Loan Entry'!$D$39:$D$42,$C$18,'Loan Entry'!$AB$39:$AB$42,$C21,'Loan Entry'!$M$39:$M$42,'Loans to Cash Flows Wkst'!N$2)</f>
        <v>0</v>
      </c>
      <c r="O21" s="764">
        <f>SUMIFS('Loan Entry'!$W$15:$W$18,'Loan Entry'!$D$15:$D$18,$C$18,'Loan Entry'!$AB$15:$AB$18,"*Mar*",'Loan Entry'!$M$15:$M$18,'Loans to Cash Flows Wkst'!O$2)+SUMIFS('Loan Entry'!$W$23:$W$26,'Loan Entry'!$D$23:$D$26,$C$18,'Loan Entry'!$AB$23:$AB$26,"*Mar*",'Loan Entry'!$M$23:$M$26,'Loans to Cash Flows Wkst'!O$2)+SUMIFS('Loan Entry'!$W$31:$W$34,'Loan Entry'!$D$31:$D$34,$C$18,'Loan Entry'!$AB$31:$AB$34,"*Mar*",'Loan Entry'!$M$31:$M$34,'Loans to Cash Flows Wkst'!O$2)+SUMIFS('Loan Entry'!$W$47:$W$50,'Loan Entry'!$D$47:$D$50,$C$18,'Loan Entry'!$AB$47:$AB$50,"*Mar*",'Loan Entry'!$M$47:$M$50,'Loans to Cash Flows Wkst'!O$2)+SUMIFS('Loan Entry'!$W$55:$W$58,'Loan Entry'!$D$55:$D$58,$C$18,'Loan Entry'!$AB$55:$AB$58,"*Mar*",'Loan Entry'!$M$55:$M$58,'Loans to Cash Flows Wkst'!O$2)+SUMIFS('Loan Entry'!$W$39:$W$42,'Loan Entry'!$D$39:$D$42,$C$18,'Loan Entry'!$AB$39:$AB$42,"*Mar*",'Loan Entry'!$M$39:$M$42,'Loans to Cash Flows Wkst'!O$2)</f>
        <v>0</v>
      </c>
      <c r="P21" s="764">
        <f>SUMIFS('Loan Entry'!$W$15:$W$18,'Loan Entry'!$D$15:$D$18,$C$18,'Loan Entry'!$AB$15:$AB$18,"*Mar*",'Loan Entry'!$M$15:$M$18,'Loans to Cash Flows Wkst'!P$2)+SUMIFS('Loan Entry'!$W$23:$W$26,'Loan Entry'!$D$23:$D$26,$C$18,'Loan Entry'!$AB$23:$AB$26,"*Mar*",'Loan Entry'!$M$23:$M$26,'Loans to Cash Flows Wkst'!P$2)+SUMIFS('Loan Entry'!$W$31:$W$34,'Loan Entry'!$D$31:$D$34,$C$18,'Loan Entry'!$AB$31:$AB$34,"*Mar*",'Loan Entry'!$M$31:$M$34,'Loans to Cash Flows Wkst'!P$2)+SUMIFS('Loan Entry'!$W$47:$W$50,'Loan Entry'!$D$47:$D$50,$C$18,'Loan Entry'!$AB$47:$AB$50,"*Mar*",'Loan Entry'!$M$47:$M$50,'Loans to Cash Flows Wkst'!P$2)+SUMIFS('Loan Entry'!$W$55:$W$58,'Loan Entry'!$D$55:$D$58,$C$18,'Loan Entry'!$AB$55:$AB$58,"*Mar*",'Loan Entry'!$M$55:$M$58,'Loans to Cash Flows Wkst'!P$2)+SUMIFS('Loan Entry'!$W$39:$W$42,'Loan Entry'!$D$39:$D$42,$C$18,'Loan Entry'!$AB$39:$AB$42,"*Mar*",'Loan Entry'!$M$39:$M$42,'Loans to Cash Flows Wkst'!P$2)</f>
        <v>0</v>
      </c>
      <c r="Q21" s="764">
        <f>SUMIFS('Loan Entry'!$W$15:$W$18,'Loan Entry'!$D$15:$D$18,$C$18,'Loan Entry'!$AB$15:$AB$18,"*Mar*",'Loan Entry'!$M$15:$M$18,'Loans to Cash Flows Wkst'!Q$2)+SUMIFS('Loan Entry'!$W$23:$W$26,'Loan Entry'!$D$23:$D$26,$C$18,'Loan Entry'!$AB$23:$AB$26,"*Mar*",'Loan Entry'!$M$23:$M$26,'Loans to Cash Flows Wkst'!Q$2)+SUMIFS('Loan Entry'!$W$31:$W$34,'Loan Entry'!$D$31:$D$34,$C$18,'Loan Entry'!$AB$31:$AB$34,"*Mar*",'Loan Entry'!$M$31:$M$34,'Loans to Cash Flows Wkst'!Q$2)+SUMIFS('Loan Entry'!$W$47:$W$50,'Loan Entry'!$D$47:$D$50,$C$18,'Loan Entry'!$AB$47:$AB$50,"*Mar*",'Loan Entry'!$M$47:$M$50,'Loans to Cash Flows Wkst'!Q$2)+SUMIFS('Loan Entry'!$W$55:$W$58,'Loan Entry'!$D$55:$D$58,$C$18,'Loan Entry'!$AB$55:$AB$58,"*Mar*",'Loan Entry'!$M$55:$M$58,'Loans to Cash Flows Wkst'!Q$2)+SUMIFS('Loan Entry'!$W$39:$W$42,'Loan Entry'!$D$39:$D$42,$C$18,'Loan Entry'!$AB$39:$AB$42,"*Mar*",'Loan Entry'!$M$39:$M$42,'Loans to Cash Flows Wkst'!Q$2)</f>
        <v>0</v>
      </c>
    </row>
    <row r="22" spans="2:17" x14ac:dyDescent="0.2">
      <c r="B22" s="852" t="s">
        <v>189</v>
      </c>
      <c r="C22" s="858" t="s">
        <v>8</v>
      </c>
      <c r="D22" s="765">
        <f>SUM('Loans to Cash Flows Wkst'!$H22:$K22)</f>
        <v>0</v>
      </c>
      <c r="E22" s="765">
        <f>SUM('Loans to Cash Flows Wkst'!$N22:$Q22)</f>
        <v>0</v>
      </c>
      <c r="G22" s="852" t="s">
        <v>8</v>
      </c>
      <c r="H22" s="854">
        <f>SUMIFS('Loan Entry'!$V$15:$V$18,'Loan Entry'!$D$15:$D$18,$C$18,'Loan Entry'!$AB$15:$AB$18,$C22,'Loan Entry'!$M$15:$M$18,'Loans to Cash Flows Wkst'!H$2)+SUMIFS('Loan Entry'!$V$23:$V$26,'Loan Entry'!$D$23:$D$26,$C$18,'Loan Entry'!$AB$23:$AB$26,$C22,'Loan Entry'!$M$23:$M$26,'Loans to Cash Flows Wkst'!H$2)+SUMIFS('Loan Entry'!$V$31:$V$34,'Loan Entry'!$D$31:$D$34,$C$18,'Loan Entry'!$AB$31:$AB$34,$C22,'Loan Entry'!$M$31:$M$34,'Loans to Cash Flows Wkst'!H$2)+SUMIFS('Loan Entry'!$V$47:$V$50,'Loan Entry'!$D$47:$D$50,$C$18,'Loan Entry'!$AB$47:$AB$50,$C22,'Loan Entry'!$M$47:$M$50,'Loans to Cash Flows Wkst'!H$2) +SUMIFS('Loan Entry'!$V$55:$V$58,'Loan Entry'!$D$55:$D$58,$C$18,'Loan Entry'!$AB$55:$AB$58,$C22,'Loan Entry'!$M$55:$M$58,'Loans to Cash Flows Wkst'!H$2)+SUMIFS('Loan Entry'!$V$39:$V$42,'Loan Entry'!$D$39:$D$42,$C$18,'Loan Entry'!$AB$39:$AB$42,$C22,'Loan Entry'!$M$39:$M$42,'Loans to Cash Flows Wkst'!H$2)</f>
        <v>0</v>
      </c>
      <c r="I22" s="765">
        <f>SUMIFS('Loan Entry'!$V$15:$V$18,'Loan Entry'!$D$15:$D$18,$C$18,'Loan Entry'!$AB$15:$AB$18,"*Apr*",'Loan Entry'!$M$15:$M$18,'Loans to Cash Flows Wkst'!I$2)+SUMIFS('Loan Entry'!$V$23:$V$26,'Loan Entry'!$D$23:$D$26,$C$18,'Loan Entry'!$AB$23:$AB$26,"*Apr*",'Loan Entry'!$M$23:$M$26,'Loans to Cash Flows Wkst'!I$2)+SUMIFS('Loan Entry'!$V$31:$V$34,'Loan Entry'!$D$31:$D$34,$C$18,'Loan Entry'!$AB$31:$AB$34,"*Apr*",'Loan Entry'!$M$31:$M$34,'Loans to Cash Flows Wkst'!I$2)+SUMIFS('Loan Entry'!$V$47:$V$50,'Loan Entry'!$D$47:$D$50,$C$18,'Loan Entry'!$AB$47:$AB$50,"*Apr*",'Loan Entry'!$M$47:$M$50,'Loans to Cash Flows Wkst'!I$2)+SUMIFS('Loan Entry'!$V$55:$V$58,'Loan Entry'!$D$55:$D$58,$C$18,'Loan Entry'!$AB$55:$AB$58,"*Apr*",'Loan Entry'!$M$55:$M$58,'Loans to Cash Flows Wkst'!I$2)+SUMIFS('Loan Entry'!$V$39:$V$42,'Loan Entry'!$D$39:$D$42,$C$18,'Loan Entry'!$AB$39:$AB$42,"*Apr*",'Loan Entry'!$M$39:$M$42,'Loans to Cash Flows Wkst'!I$2)</f>
        <v>0</v>
      </c>
      <c r="J22" s="765">
        <f>SUMIFS('Loan Entry'!$V$15:$V$18,'Loan Entry'!$D$15:$D$18,$C$18,'Loan Entry'!$AB$15:$AB$18,"*Apr*",'Loan Entry'!$M$15:$M$18,'Loans to Cash Flows Wkst'!J$2)+SUMIFS('Loan Entry'!$V$23:$V$26,'Loan Entry'!$D$23:$D$26,$C$18,'Loan Entry'!$AB$23:$AB$26,"*Apr*",'Loan Entry'!$M$23:$M$26,'Loans to Cash Flows Wkst'!J$2)+SUMIFS('Loan Entry'!$V$31:$V$34,'Loan Entry'!$D$31:$D$34,$C$18,'Loan Entry'!$AB$31:$AB$34,"*Apr*",'Loan Entry'!$M$31:$M$34,'Loans to Cash Flows Wkst'!J$2)+SUMIFS('Loan Entry'!$V$47:$V$50,'Loan Entry'!$D$47:$D$50,$C$18,'Loan Entry'!$AB$47:$AB$50,"*Apr*",'Loan Entry'!$M$47:$M$50,'Loans to Cash Flows Wkst'!J$2) +SUMIFS('Loan Entry'!$V$55:$V$58,'Loan Entry'!$D$55:$D$58,$C$18,'Loan Entry'!$AB$55:$AB$58,"*Apr*",'Loan Entry'!$M$55:$M$58,'Loans to Cash Flows Wkst'!J$2)+SUMIFS('Loan Entry'!$V$39:$V$42,'Loan Entry'!$D$39:$D$42,$C$18,'Loan Entry'!$AB$39:$AB$42,"*Apr*",'Loan Entry'!$M$39:$M$42,'Loans to Cash Flows Wkst'!J$2)</f>
        <v>0</v>
      </c>
      <c r="K22" s="765">
        <f>SUMIFS('Loan Entry'!$V$15:$V$18,'Loan Entry'!$D$15:$D$18,$C$18,'Loan Entry'!$AB$15:$AB$18,"*Apr*",'Loan Entry'!$M$15:$M$18,'Loans to Cash Flows Wkst'!K$2)+SUMIFS('Loan Entry'!$V$23:$V$26,'Loan Entry'!$D$23:$D$26,$C$18,'Loan Entry'!$AB$23:$AB$26,"*Apr*",'Loan Entry'!$M$23:$M$26,'Loans to Cash Flows Wkst'!K$2)+SUMIFS('Loan Entry'!$V$31:$V$34,'Loan Entry'!$D$31:$D$34,$C$18,'Loan Entry'!$AB$31:$AB$34,"*Apr*",'Loan Entry'!$M$31:$M$34,'Loans to Cash Flows Wkst'!K$2)+SUMIFS('Loan Entry'!$V$47:$V$50,'Loan Entry'!$D$47:$D$50,$C$18,'Loan Entry'!$AB$47:$AB$50,"*Apr*",'Loan Entry'!$M$47:$M$50,'Loans to Cash Flows Wkst'!K$2) +SUMIFS('Loan Entry'!$V$55:$V$58,'Loan Entry'!$D$55:$D$58,$C$18,'Loan Entry'!$AB$55:$AB$58,"*Apr*",'Loan Entry'!$M$55:$M$58,'Loans to Cash Flows Wkst'!K$2)+SUMIFS('Loan Entry'!$V$39:$V$42,'Loan Entry'!$D$39:$D$42,$C$18,'Loan Entry'!$AB$39:$AB$42,"*Apr*",'Loan Entry'!$M$39:$M$42,'Loans to Cash Flows Wkst'!K$2)</f>
        <v>0</v>
      </c>
      <c r="M22" s="852" t="s">
        <v>8</v>
      </c>
      <c r="N22" s="765">
        <f>SUMIFS('Loan Entry'!$W$15:$W$18,'Loan Entry'!$D$15:$D$18,$C$18,'Loan Entry'!$AB$15:$AB$18,$C22,'Loan Entry'!$M$15:$M$18,'Loans to Cash Flows Wkst'!N$2)+SUMIFS('Loan Entry'!$W$23:$W$26,'Loan Entry'!$D$23:$D$26,$C$18,'Loan Entry'!$AB$23:$AB$26,$C22,'Loan Entry'!$M$23:$M$26,'Loans to Cash Flows Wkst'!N$2)+SUMIFS('Loan Entry'!$W$31:$W$34,'Loan Entry'!$D$31:$D$34,$C$18,'Loan Entry'!$AB$31:$AB$34,$C22,'Loan Entry'!$M$31:$M$34,'Loans to Cash Flows Wkst'!N$2)+SUMIFS('Loan Entry'!$W$47:$W$50,'Loan Entry'!$D$47:$D$50,$C$18,'Loan Entry'!$AB$47:$AB$50,$C22,'Loan Entry'!$M$47:$M$50,'Loans to Cash Flows Wkst'!N$2)+SUMIFS('Loan Entry'!$W$55:$W$58,'Loan Entry'!$D$55:$D$58,$C$18,'Loan Entry'!$AB$55:$AB$58,$C22,'Loan Entry'!$M$55:$M$58,'Loans to Cash Flows Wkst'!N$2)+SUMIFS('Loan Entry'!$W$39:$W$42,'Loan Entry'!$D$39:$D$42,$C$18,'Loan Entry'!$AB$39:$AB$42,$C22,'Loan Entry'!$M$39:$M$42,'Loans to Cash Flows Wkst'!N$2)</f>
        <v>0</v>
      </c>
      <c r="O22" s="765">
        <f>SUMIFS('Loan Entry'!$W$15:$W$18,'Loan Entry'!$D$15:$D$18,$C$18,'Loan Entry'!$AB$15:$AB$18,"*Apr*",'Loan Entry'!$M$15:$M$18,'Loans to Cash Flows Wkst'!O$2)+SUMIFS('Loan Entry'!$W$23:$W$26,'Loan Entry'!$D$23:$D$26,$C$18,'Loan Entry'!$AB$23:$AB$26,"*Apr*",'Loan Entry'!$M$23:$M$26,'Loans to Cash Flows Wkst'!O$2)+SUMIFS('Loan Entry'!$W$31:$W$34,'Loan Entry'!$D$31:$D$34,$C$18,'Loan Entry'!$AB$31:$AB$34,"*Apr*",'Loan Entry'!$M$31:$M$34,'Loans to Cash Flows Wkst'!O$2)+SUMIFS('Loan Entry'!$W$47:$W$50,'Loan Entry'!$D$47:$D$50,$C$18,'Loan Entry'!$AB$47:$AB$50,"*Apr*",'Loan Entry'!$M$47:$M$50,'Loans to Cash Flows Wkst'!O$2)+SUMIFS('Loan Entry'!$W$55:$W$58,'Loan Entry'!$D$55:$D$58,$C$18,'Loan Entry'!$AB$55:$AB$58,"*Apr*",'Loan Entry'!$M$55:$M$58,'Loans to Cash Flows Wkst'!O$2)+SUMIFS('Loan Entry'!$W$39:$W$42,'Loan Entry'!$D$39:$D$42,$C$18,'Loan Entry'!$AB$39:$AB$42,"*Apr*",'Loan Entry'!$M$39:$M$42,'Loans to Cash Flows Wkst'!O$2)</f>
        <v>0</v>
      </c>
      <c r="P22" s="765">
        <f>SUMIFS('Loan Entry'!$W$15:$W$18,'Loan Entry'!$D$15:$D$18,$C$18,'Loan Entry'!$AB$15:$AB$18,"*Apr*",'Loan Entry'!$M$15:$M$18,'Loans to Cash Flows Wkst'!P$2)+SUMIFS('Loan Entry'!$W$23:$W$26,'Loan Entry'!$D$23:$D$26,$C$18,'Loan Entry'!$AB$23:$AB$26,"*Apr*",'Loan Entry'!$M$23:$M$26,'Loans to Cash Flows Wkst'!P$2)+SUMIFS('Loan Entry'!$W$31:$W$34,'Loan Entry'!$D$31:$D$34,$C$18,'Loan Entry'!$AB$31:$AB$34,"*Apr*",'Loan Entry'!$M$31:$M$34,'Loans to Cash Flows Wkst'!P$2)+SUMIFS('Loan Entry'!$W$47:$W$50,'Loan Entry'!$D$47:$D$50,$C$18,'Loan Entry'!$AB$47:$AB$50,"*Apr*",'Loan Entry'!$M$47:$M$50,'Loans to Cash Flows Wkst'!P$2)+SUMIFS('Loan Entry'!$W$55:$W$58,'Loan Entry'!$D$55:$D$58,$C$18,'Loan Entry'!$AB$55:$AB$58,"*Apr*",'Loan Entry'!$M$55:$M$58,'Loans to Cash Flows Wkst'!P$2)+SUMIFS('Loan Entry'!$W$39:$W$42,'Loan Entry'!$D$39:$D$42,$C$18,'Loan Entry'!$AB$39:$AB$42,"*Apr*",'Loan Entry'!$M$39:$M$42,'Loans to Cash Flows Wkst'!P$2)</f>
        <v>0</v>
      </c>
      <c r="Q22" s="765">
        <f>SUMIFS('Loan Entry'!$W$15:$W$18,'Loan Entry'!$D$15:$D$18,$C$18,'Loan Entry'!$AB$15:$AB$18,"*Apr*",'Loan Entry'!$M$15:$M$18,'Loans to Cash Flows Wkst'!Q$2)+SUMIFS('Loan Entry'!$W$23:$W$26,'Loan Entry'!$D$23:$D$26,$C$18,'Loan Entry'!$AB$23:$AB$26,"*Apr*",'Loan Entry'!$M$23:$M$26,'Loans to Cash Flows Wkst'!Q$2)+SUMIFS('Loan Entry'!$W$31:$W$34,'Loan Entry'!$D$31:$D$34,$C$18,'Loan Entry'!$AB$31:$AB$34,"*Apr*",'Loan Entry'!$M$31:$M$34,'Loans to Cash Flows Wkst'!Q$2)+SUMIFS('Loan Entry'!$W$47:$W$50,'Loan Entry'!$D$47:$D$50,$C$18,'Loan Entry'!$AB$47:$AB$50,"*Apr*",'Loan Entry'!$M$47:$M$50,'Loans to Cash Flows Wkst'!Q$2)+SUMIFS('Loan Entry'!$W$55:$W$58,'Loan Entry'!$D$55:$D$58,$C$18,'Loan Entry'!$AB$55:$AB$58,"*Apr*",'Loan Entry'!$M$55:$M$58,'Loans to Cash Flows Wkst'!Q$2)+SUMIFS('Loan Entry'!$W$39:$W$42,'Loan Entry'!$D$39:$D$42,$C$18,'Loan Entry'!$AB$39:$AB$42,"*Apr*",'Loan Entry'!$M$39:$M$42,'Loans to Cash Flows Wkst'!Q$2)</f>
        <v>0</v>
      </c>
    </row>
    <row r="23" spans="2:17" x14ac:dyDescent="0.2">
      <c r="B23" s="855" t="s">
        <v>4</v>
      </c>
      <c r="C23" s="856" t="s">
        <v>4</v>
      </c>
      <c r="D23" s="764">
        <f>SUM('Loans to Cash Flows Wkst'!$H23:$K23)</f>
        <v>0</v>
      </c>
      <c r="E23" s="764">
        <f>SUM('Loans to Cash Flows Wkst'!$N23:$Q23)</f>
        <v>0</v>
      </c>
      <c r="G23" s="855" t="s">
        <v>4</v>
      </c>
      <c r="H23" s="857">
        <f>SUMIFS('Loan Entry'!$V$15:$V$18,'Loan Entry'!$D$15:$D$18,$C$18,'Loan Entry'!$AB$15:$AB$18,$C23,'Loan Entry'!$M$15:$M$18,'Loans to Cash Flows Wkst'!H$2)+SUMIFS('Loan Entry'!$V$23:$V$26,'Loan Entry'!$D$23:$D$26,$C$18,'Loan Entry'!$AB$23:$AB$26,$C23,'Loan Entry'!$M$23:$M$26,'Loans to Cash Flows Wkst'!H$2)+SUMIFS('Loan Entry'!$V$31:$V$34,'Loan Entry'!$D$31:$D$34,$C$18,'Loan Entry'!$AB$31:$AB$34,$C23,'Loan Entry'!$M$31:$M$34,'Loans to Cash Flows Wkst'!H$2)+SUMIFS('Loan Entry'!$V$47:$V$50,'Loan Entry'!$D$47:$D$50,$C$18,'Loan Entry'!$AB$47:$AB$50,$C23,'Loan Entry'!$M$47:$M$50,'Loans to Cash Flows Wkst'!H$2) +SUMIFS('Loan Entry'!$V$55:$V$58,'Loan Entry'!$D$55:$D$58,$C$18,'Loan Entry'!$AB$55:$AB$58,$C23,'Loan Entry'!$M$55:$M$58,'Loans to Cash Flows Wkst'!H$2)+SUMIFS('Loan Entry'!$V$39:$V$42,'Loan Entry'!$D$39:$D$42,$C$18,'Loan Entry'!$AB$39:$AB$42,$C23,'Loan Entry'!$M$39:$M$42,'Loans to Cash Flows Wkst'!H$2)</f>
        <v>0</v>
      </c>
      <c r="I23" s="764">
        <f>SUMIFS('Loan Entry'!$V$15:$V$18,'Loan Entry'!$D$15:$D$18,$C$18,'Loan Entry'!$AB$15:$AB$18,"*May*",'Loan Entry'!$M$15:$M$18,'Loans to Cash Flows Wkst'!I$2)+SUMIFS('Loan Entry'!$V$23:$V$26,'Loan Entry'!$D$23:$D$26,$C$18,'Loan Entry'!$AB$23:$AB$26,"*May*",'Loan Entry'!$M$23:$M$26,'Loans to Cash Flows Wkst'!I$2)+SUMIFS('Loan Entry'!$V$31:$V$34,'Loan Entry'!$D$31:$D$34,$C$18,'Loan Entry'!$AB$31:$AB$34,"*May*",'Loan Entry'!$M$31:$M$34,'Loans to Cash Flows Wkst'!I$2)+SUMIFS('Loan Entry'!$V$47:$V$50,'Loan Entry'!$D$47:$D$50,$C$18,'Loan Entry'!$AB$47:$AB$50,"*May*",'Loan Entry'!$M$47:$M$50,'Loans to Cash Flows Wkst'!I$2)+SUMIFS('Loan Entry'!$V$55:$V$58,'Loan Entry'!$D$55:$D$58,$C$18,'Loan Entry'!$AB$55:$AB$58,"*May*",'Loan Entry'!$M$55:$M$58,'Loans to Cash Flows Wkst'!I$2)+SUMIFS('Loan Entry'!$V$39:$V$42,'Loan Entry'!$D$39:$D$42,$C$18,'Loan Entry'!$AB$39:$AB$42,"*May*",'Loan Entry'!$M$39:$M$42,'Loans to Cash Flows Wkst'!I$2)</f>
        <v>0</v>
      </c>
      <c r="J23" s="764">
        <f>SUMIFS('Loan Entry'!$V$15:$V$18,'Loan Entry'!$D$15:$D$18,$C$18,'Loan Entry'!$AB$15:$AB$18,"*May*",'Loan Entry'!$M$15:$M$18,'Loans to Cash Flows Wkst'!J$2)+SUMIFS('Loan Entry'!$V$23:$V$26,'Loan Entry'!$D$23:$D$26,$C$18,'Loan Entry'!$AB$23:$AB$26,"*May*",'Loan Entry'!$M$23:$M$26,'Loans to Cash Flows Wkst'!J$2)+SUMIFS('Loan Entry'!$V$31:$V$34,'Loan Entry'!$D$31:$D$34,$C$18,'Loan Entry'!$AB$31:$AB$34,"*May*",'Loan Entry'!$M$31:$M$34,'Loans to Cash Flows Wkst'!J$2)+SUMIFS('Loan Entry'!$V$47:$V$50,'Loan Entry'!$D$47:$D$50,$C$18,'Loan Entry'!$AB$47:$AB$50,"*May*",'Loan Entry'!$M$47:$M$50,'Loans to Cash Flows Wkst'!J$2) +SUMIFS('Loan Entry'!$V$55:$V$58,'Loan Entry'!$D$55:$D$58,$C$18,'Loan Entry'!$AB$55:$AB$58,"*May*",'Loan Entry'!$M$55:$M$58,'Loans to Cash Flows Wkst'!J$2)+SUMIFS('Loan Entry'!$V$39:$V$42,'Loan Entry'!$D$39:$D$42,$C$18,'Loan Entry'!$AB$39:$AB$42,"*May*",'Loan Entry'!$M$39:$M$42,'Loans to Cash Flows Wkst'!J$2)</f>
        <v>0</v>
      </c>
      <c r="K23" s="764">
        <f>SUMIFS('Loan Entry'!$V$15:$V$18,'Loan Entry'!$D$15:$D$18,$C$18,'Loan Entry'!$AB$15:$AB$18,"*May*",'Loan Entry'!$M$15:$M$18,'Loans to Cash Flows Wkst'!K$2)+SUMIFS('Loan Entry'!$V$23:$V$26,'Loan Entry'!$D$23:$D$26,$C$18,'Loan Entry'!$AB$23:$AB$26,"*May*",'Loan Entry'!$M$23:$M$26,'Loans to Cash Flows Wkst'!K$2)+SUMIFS('Loan Entry'!$V$31:$V$34,'Loan Entry'!$D$31:$D$34,$C$18,'Loan Entry'!$AB$31:$AB$34,"*May*",'Loan Entry'!$M$31:$M$34,'Loans to Cash Flows Wkst'!K$2)+SUMIFS('Loan Entry'!$V$47:$V$50,'Loan Entry'!$D$47:$D$50,$C$18,'Loan Entry'!$AB$47:$AB$50,"*May*",'Loan Entry'!$M$47:$M$50,'Loans to Cash Flows Wkst'!K$2) +SUMIFS('Loan Entry'!$V$55:$V$58,'Loan Entry'!$D$55:$D$58,$C$18,'Loan Entry'!$AB$55:$AB$58,"*May*",'Loan Entry'!$M$55:$M$58,'Loans to Cash Flows Wkst'!K$2)+SUMIFS('Loan Entry'!$V$39:$V$42,'Loan Entry'!$D$39:$D$42,$C$18,'Loan Entry'!$AB$39:$AB$42,"*May*",'Loan Entry'!$M$39:$M$42,'Loans to Cash Flows Wkst'!K$2)</f>
        <v>0</v>
      </c>
      <c r="M23" s="855" t="s">
        <v>4</v>
      </c>
      <c r="N23" s="764">
        <f>SUMIFS('Loan Entry'!$W$15:$W$18,'Loan Entry'!$D$15:$D$18,$C$18,'Loan Entry'!$AB$15:$AB$18,$C23,'Loan Entry'!$M$15:$M$18,'Loans to Cash Flows Wkst'!N$2)+SUMIFS('Loan Entry'!$W$23:$W$26,'Loan Entry'!$D$23:$D$26,$C$18,'Loan Entry'!$AB$23:$AB$26,$C23,'Loan Entry'!$M$23:$M$26,'Loans to Cash Flows Wkst'!N$2)+SUMIFS('Loan Entry'!$W$31:$W$34,'Loan Entry'!$D$31:$D$34,$C$18,'Loan Entry'!$AB$31:$AB$34,$C23,'Loan Entry'!$M$31:$M$34,'Loans to Cash Flows Wkst'!N$2)+SUMIFS('Loan Entry'!$W$47:$W$50,'Loan Entry'!$D$47:$D$50,$C$18,'Loan Entry'!$AB$47:$AB$50,$C23,'Loan Entry'!$M$47:$M$50,'Loans to Cash Flows Wkst'!N$2)+SUMIFS('Loan Entry'!$W$55:$W$58,'Loan Entry'!$D$55:$D$58,$C$18,'Loan Entry'!$AB$55:$AB$58,$C23,'Loan Entry'!$M$55:$M$58,'Loans to Cash Flows Wkst'!N$2)+SUMIFS('Loan Entry'!$W$39:$W$42,'Loan Entry'!$D$39:$D$42,$C$18,'Loan Entry'!$AB$39:$AB$42,$C23,'Loan Entry'!$M$39:$M$42,'Loans to Cash Flows Wkst'!N$2)</f>
        <v>0</v>
      </c>
      <c r="O23" s="764">
        <f>SUMIFS('Loan Entry'!$W$15:$W$18,'Loan Entry'!$D$15:$D$18,$C$18,'Loan Entry'!$AB$15:$AB$18,"*May*",'Loan Entry'!$M$15:$M$18,'Loans to Cash Flows Wkst'!O$2)+SUMIFS('Loan Entry'!$W$23:$W$26,'Loan Entry'!$D$23:$D$26,$C$18,'Loan Entry'!$AB$23:$AB$26,"*May*",'Loan Entry'!$M$23:$M$26,'Loans to Cash Flows Wkst'!O$2)+SUMIFS('Loan Entry'!$W$31:$W$34,'Loan Entry'!$D$31:$D$34,$C$18,'Loan Entry'!$AB$31:$AB$34,"*May*",'Loan Entry'!$M$31:$M$34,'Loans to Cash Flows Wkst'!O$2)+SUMIFS('Loan Entry'!$W$47:$W$50,'Loan Entry'!$D$47:$D$50,$C$18,'Loan Entry'!$AB$47:$AB$50,"*May*",'Loan Entry'!$M$47:$M$50,'Loans to Cash Flows Wkst'!O$2)+SUMIFS('Loan Entry'!$W$55:$W$58,'Loan Entry'!$D$55:$D$58,$C$18,'Loan Entry'!$AB$55:$AB$58,"*May*",'Loan Entry'!$M$55:$M$58,'Loans to Cash Flows Wkst'!O$2)+SUMIFS('Loan Entry'!$W$39:$W$42,'Loan Entry'!$D$39:$D$42,$C$18,'Loan Entry'!$AB$39:$AB$42,"*May*",'Loan Entry'!$M$39:$M$42,'Loans to Cash Flows Wkst'!O$2)</f>
        <v>0</v>
      </c>
      <c r="P23" s="764">
        <f>SUMIFS('Loan Entry'!$W$15:$W$18,'Loan Entry'!$D$15:$D$18,$C$18,'Loan Entry'!$AB$15:$AB$18,"*May*",'Loan Entry'!$M$15:$M$18,'Loans to Cash Flows Wkst'!P$2)+SUMIFS('Loan Entry'!$W$23:$W$26,'Loan Entry'!$D$23:$D$26,$C$18,'Loan Entry'!$AB$23:$AB$26,"*May*",'Loan Entry'!$M$23:$M$26,'Loans to Cash Flows Wkst'!P$2)+SUMIFS('Loan Entry'!$W$31:$W$34,'Loan Entry'!$D$31:$D$34,$C$18,'Loan Entry'!$AB$31:$AB$34,"*May*",'Loan Entry'!$M$31:$M$34,'Loans to Cash Flows Wkst'!P$2)+SUMIFS('Loan Entry'!$W$47:$W$50,'Loan Entry'!$D$47:$D$50,$C$18,'Loan Entry'!$AB$47:$AB$50,"*May*",'Loan Entry'!$M$47:$M$50,'Loans to Cash Flows Wkst'!P$2)+SUMIFS('Loan Entry'!$W$55:$W$58,'Loan Entry'!$D$55:$D$58,$C$18,'Loan Entry'!$AB$55:$AB$58,"*May*",'Loan Entry'!$M$55:$M$58,'Loans to Cash Flows Wkst'!P$2)+SUMIFS('Loan Entry'!$W$39:$W$42,'Loan Entry'!$D$39:$D$42,$C$18,'Loan Entry'!$AB$39:$AB$42,"*May*",'Loan Entry'!$M$39:$M$42,'Loans to Cash Flows Wkst'!P$2)</f>
        <v>0</v>
      </c>
      <c r="Q23" s="764">
        <f>SUMIFS('Loan Entry'!$W$15:$W$18,'Loan Entry'!$D$15:$D$18,$C$18,'Loan Entry'!$AB$15:$AB$18,"*May*",'Loan Entry'!$M$15:$M$18,'Loans to Cash Flows Wkst'!Q$2)+SUMIFS('Loan Entry'!$W$23:$W$26,'Loan Entry'!$D$23:$D$26,$C$18,'Loan Entry'!$AB$23:$AB$26,"*May*",'Loan Entry'!$M$23:$M$26,'Loans to Cash Flows Wkst'!Q$2)+SUMIFS('Loan Entry'!$W$31:$W$34,'Loan Entry'!$D$31:$D$34,$C$18,'Loan Entry'!$AB$31:$AB$34,"*May*",'Loan Entry'!$M$31:$M$34,'Loans to Cash Flows Wkst'!Q$2)+SUMIFS('Loan Entry'!$W$47:$W$50,'Loan Entry'!$D$47:$D$50,$C$18,'Loan Entry'!$AB$47:$AB$50,"*May*",'Loan Entry'!$M$47:$M$50,'Loans to Cash Flows Wkst'!Q$2)+SUMIFS('Loan Entry'!$W$55:$W$58,'Loan Entry'!$D$55:$D$58,$C$18,'Loan Entry'!$AB$55:$AB$58,"*May*",'Loan Entry'!$M$55:$M$58,'Loans to Cash Flows Wkst'!Q$2)+SUMIFS('Loan Entry'!$W$39:$W$42,'Loan Entry'!$D$39:$D$42,$C$18,'Loan Entry'!$AB$39:$AB$42,"*May*",'Loan Entry'!$M$39:$M$42,'Loans to Cash Flows Wkst'!Q$2)</f>
        <v>0</v>
      </c>
    </row>
    <row r="24" spans="2:17" x14ac:dyDescent="0.2">
      <c r="B24" s="852" t="s">
        <v>190</v>
      </c>
      <c r="C24" s="858" t="s">
        <v>9</v>
      </c>
      <c r="D24" s="765">
        <f>SUM('Loans to Cash Flows Wkst'!$H24:$K24)</f>
        <v>0</v>
      </c>
      <c r="E24" s="765">
        <f>SUM('Loans to Cash Flows Wkst'!$N24:$Q24)</f>
        <v>0</v>
      </c>
      <c r="G24" s="852" t="s">
        <v>9</v>
      </c>
      <c r="H24" s="854">
        <f>SUMIFS('Loan Entry'!$V$15:$V$18,'Loan Entry'!$D$15:$D$18,$C$18,'Loan Entry'!$AB$15:$AB$18,$C24,'Loan Entry'!$M$15:$M$18,'Loans to Cash Flows Wkst'!H$2)+SUMIFS('Loan Entry'!$V$23:$V$26,'Loan Entry'!$D$23:$D$26,$C$18,'Loan Entry'!$AB$23:$AB$26,$C24,'Loan Entry'!$M$23:$M$26,'Loans to Cash Flows Wkst'!H$2)+SUMIFS('Loan Entry'!$V$31:$V$34,'Loan Entry'!$D$31:$D$34,$C$18,'Loan Entry'!$AB$31:$AB$34,$C24,'Loan Entry'!$M$31:$M$34,'Loans to Cash Flows Wkst'!H$2)+SUMIFS('Loan Entry'!$V$47:$V$50,'Loan Entry'!$D$47:$D$50,$C$18,'Loan Entry'!$AB$47:$AB$50,$C24,'Loan Entry'!$M$47:$M$50,'Loans to Cash Flows Wkst'!H$2) +SUMIFS('Loan Entry'!$V$55:$V$58,'Loan Entry'!$D$55:$D$58,$C$18,'Loan Entry'!$AB$55:$AB$58,$C24,'Loan Entry'!$M$55:$M$58,'Loans to Cash Flows Wkst'!H$2)+SUMIFS('Loan Entry'!$V$39:$V$42,'Loan Entry'!$D$39:$D$42,$C$18,'Loan Entry'!$AB$39:$AB$42,$C24,'Loan Entry'!$M$39:$M$42,'Loans to Cash Flows Wkst'!H$2)</f>
        <v>0</v>
      </c>
      <c r="I24" s="765">
        <f>SUMIFS('Loan Entry'!$V$15:$V$18,'Loan Entry'!$D$15:$D$18,$C$18,'Loan Entry'!$AB$15:$AB$18,"*Jun*",'Loan Entry'!$M$15:$M$18,'Loans to Cash Flows Wkst'!I$2)+SUMIFS('Loan Entry'!$V$23:$V$26,'Loan Entry'!$D$23:$D$26,$C$18,'Loan Entry'!$AB$23:$AB$26,"*Jun*",'Loan Entry'!$M$23:$M$26,'Loans to Cash Flows Wkst'!I$2)+SUMIFS('Loan Entry'!$V$31:$V$34,'Loan Entry'!$D$31:$D$34,$C$18,'Loan Entry'!$AB$31:$AB$34,"*Jun*",'Loan Entry'!$M$31:$M$34,'Loans to Cash Flows Wkst'!I$2)+SUMIFS('Loan Entry'!$V$47:$V$50,'Loan Entry'!$D$47:$D$50,$C$18,'Loan Entry'!$AB$47:$AB$50,"*Jun*",'Loan Entry'!$M$47:$M$50,'Loans to Cash Flows Wkst'!I$2)+SUMIFS('Loan Entry'!$V$55:$V$58,'Loan Entry'!$D$55:$D$58,$C$18,'Loan Entry'!$AB$55:$AB$58,"*Jun*",'Loan Entry'!$M$55:$M$58,'Loans to Cash Flows Wkst'!I$2)+SUMIFS('Loan Entry'!$V$39:$V$42,'Loan Entry'!$D$39:$D$42,$C$18,'Loan Entry'!$AB$39:$AB$42,"*Jun*",'Loan Entry'!$M$39:$M$42,'Loans to Cash Flows Wkst'!I$2)</f>
        <v>0</v>
      </c>
      <c r="J24" s="765">
        <f>SUMIFS('Loan Entry'!$V$15:$V$18,'Loan Entry'!$D$15:$D$18,$C$18,'Loan Entry'!$AB$15:$AB$18,"*Jun*",'Loan Entry'!$M$15:$M$18,'Loans to Cash Flows Wkst'!J$2)+SUMIFS('Loan Entry'!$V$23:$V$26,'Loan Entry'!$D$23:$D$26,$C$18,'Loan Entry'!$AB$23:$AB$26,"*Jun*",'Loan Entry'!$M$23:$M$26,'Loans to Cash Flows Wkst'!J$2)+SUMIFS('Loan Entry'!$V$31:$V$34,'Loan Entry'!$D$31:$D$34,$C$18,'Loan Entry'!$AB$31:$AB$34,"*Jun*",'Loan Entry'!$M$31:$M$34,'Loans to Cash Flows Wkst'!J$2)+SUMIFS('Loan Entry'!$V$47:$V$50,'Loan Entry'!$D$47:$D$50,$C$18,'Loan Entry'!$AB$47:$AB$50,"*Jun*",'Loan Entry'!$M$47:$M$50,'Loans to Cash Flows Wkst'!J$2) +SUMIFS('Loan Entry'!$V$55:$V$58,'Loan Entry'!$D$55:$D$58,$C$18,'Loan Entry'!$AB$55:$AB$58,"*Jun*",'Loan Entry'!$M$55:$M$58,'Loans to Cash Flows Wkst'!J$2)+SUMIFS('Loan Entry'!$V$39:$V$42,'Loan Entry'!$D$39:$D$42,$C$18,'Loan Entry'!$AB$39:$AB$42,"*Jun*",'Loan Entry'!$M$39:$M$42,'Loans to Cash Flows Wkst'!J$2)</f>
        <v>0</v>
      </c>
      <c r="K24" s="765">
        <f>SUMIFS('Loan Entry'!$V$15:$V$18,'Loan Entry'!$D$15:$D$18,$C$18,'Loan Entry'!$AB$15:$AB$18,"*Jun*",'Loan Entry'!$M$15:$M$18,'Loans to Cash Flows Wkst'!K$2)+SUMIFS('Loan Entry'!$V$23:$V$26,'Loan Entry'!$D$23:$D$26,$C$18,'Loan Entry'!$AB$23:$AB$26,"*Jun*",'Loan Entry'!$M$23:$M$26,'Loans to Cash Flows Wkst'!K$2)+SUMIFS('Loan Entry'!$V$31:$V$34,'Loan Entry'!$D$31:$D$34,$C$18,'Loan Entry'!$AB$31:$AB$34,"*Jun*",'Loan Entry'!$M$31:$M$34,'Loans to Cash Flows Wkst'!K$2)+SUMIFS('Loan Entry'!$V$47:$V$50,'Loan Entry'!$D$47:$D$50,$C$18,'Loan Entry'!$AB$47:$AB$50,"*Jun*",'Loan Entry'!$M$47:$M$50,'Loans to Cash Flows Wkst'!K$2) +SUMIFS('Loan Entry'!$V$55:$V$58,'Loan Entry'!$D$55:$D$58,$C$18,'Loan Entry'!$AB$55:$AB$58,"*Jun*",'Loan Entry'!$M$55:$M$58,'Loans to Cash Flows Wkst'!K$2)+SUMIFS('Loan Entry'!$V$39:$V$42,'Loan Entry'!$D$39:$D$42,$C$18,'Loan Entry'!$AB$39:$AB$42,"*Jun*",'Loan Entry'!$M$39:$M$42,'Loans to Cash Flows Wkst'!K$2)</f>
        <v>0</v>
      </c>
      <c r="M24" s="852" t="s">
        <v>9</v>
      </c>
      <c r="N24" s="765">
        <f>SUMIFS('Loan Entry'!$W$15:$W$18,'Loan Entry'!$D$15:$D$18,$C$18,'Loan Entry'!$AB$15:$AB$18,$C24,'Loan Entry'!$M$15:$M$18,'Loans to Cash Flows Wkst'!N$2)+SUMIFS('Loan Entry'!$W$23:$W$26,'Loan Entry'!$D$23:$D$26,$C$18,'Loan Entry'!$AB$23:$AB$26,$C24,'Loan Entry'!$M$23:$M$26,'Loans to Cash Flows Wkst'!N$2)+SUMIFS('Loan Entry'!$W$31:$W$34,'Loan Entry'!$D$31:$D$34,$C$18,'Loan Entry'!$AB$31:$AB$34,$C24,'Loan Entry'!$M$31:$M$34,'Loans to Cash Flows Wkst'!N$2)+SUMIFS('Loan Entry'!$W$47:$W$50,'Loan Entry'!$D$47:$D$50,$C$18,'Loan Entry'!$AB$47:$AB$50,$C24,'Loan Entry'!$M$47:$M$50,'Loans to Cash Flows Wkst'!N$2)+SUMIFS('Loan Entry'!$W$55:$W$58,'Loan Entry'!$D$55:$D$58,$C$18,'Loan Entry'!$AB$55:$AB$58,$C24,'Loan Entry'!$M$55:$M$58,'Loans to Cash Flows Wkst'!N$2)+SUMIFS('Loan Entry'!$W$39:$W$42,'Loan Entry'!$D$39:$D$42,$C$18,'Loan Entry'!$AB$39:$AB$42,$C24,'Loan Entry'!$M$39:$M$42,'Loans to Cash Flows Wkst'!N$2)</f>
        <v>0</v>
      </c>
      <c r="O24" s="765">
        <f>SUMIFS('Loan Entry'!$W$15:$W$18,'Loan Entry'!$D$15:$D$18,$C$18,'Loan Entry'!$AB$15:$AB$18,"*Jun*",'Loan Entry'!$M$15:$M$18,'Loans to Cash Flows Wkst'!O$2)+SUMIFS('Loan Entry'!$W$23:$W$26,'Loan Entry'!$D$23:$D$26,$C$18,'Loan Entry'!$AB$23:$AB$26,"*Jun*",'Loan Entry'!$M$23:$M$26,'Loans to Cash Flows Wkst'!O$2)+SUMIFS('Loan Entry'!$W$31:$W$34,'Loan Entry'!$D$31:$D$34,$C$18,'Loan Entry'!$AB$31:$AB$34,"*Jun*",'Loan Entry'!$M$31:$M$34,'Loans to Cash Flows Wkst'!O$2)+SUMIFS('Loan Entry'!$W$47:$W$50,'Loan Entry'!$D$47:$D$50,$C$18,'Loan Entry'!$AB$47:$AB$50,"*Jun*",'Loan Entry'!$M$47:$M$50,'Loans to Cash Flows Wkst'!O$2)+SUMIFS('Loan Entry'!$W$55:$W$58,'Loan Entry'!$D$55:$D$58,$C$18,'Loan Entry'!$AB$55:$AB$58,"*Jun*",'Loan Entry'!$M$55:$M$58,'Loans to Cash Flows Wkst'!O$2)+SUMIFS('Loan Entry'!$W$39:$W$42,'Loan Entry'!$D$39:$D$42,$C$18,'Loan Entry'!$AB$39:$AB$42,"*Jun*",'Loan Entry'!$M$39:$M$42,'Loans to Cash Flows Wkst'!O$2)</f>
        <v>0</v>
      </c>
      <c r="P24" s="765">
        <f>SUMIFS('Loan Entry'!$W$15:$W$18,'Loan Entry'!$D$15:$D$18,$C$18,'Loan Entry'!$AB$15:$AB$18,"*Jun*",'Loan Entry'!$M$15:$M$18,'Loans to Cash Flows Wkst'!P$2)+SUMIFS('Loan Entry'!$W$23:$W$26,'Loan Entry'!$D$23:$D$26,$C$18,'Loan Entry'!$AB$23:$AB$26,"*Jun*",'Loan Entry'!$M$23:$M$26,'Loans to Cash Flows Wkst'!P$2)+SUMIFS('Loan Entry'!$W$31:$W$34,'Loan Entry'!$D$31:$D$34,$C$18,'Loan Entry'!$AB$31:$AB$34,"*Jun*",'Loan Entry'!$M$31:$M$34,'Loans to Cash Flows Wkst'!P$2)+SUMIFS('Loan Entry'!$W$47:$W$50,'Loan Entry'!$D$47:$D$50,$C$18,'Loan Entry'!$AB$47:$AB$50,"*Jun*",'Loan Entry'!$M$47:$M$50,'Loans to Cash Flows Wkst'!P$2)+SUMIFS('Loan Entry'!$W$55:$W$58,'Loan Entry'!$D$55:$D$58,$C$18,'Loan Entry'!$AB$55:$AB$58,"*Jun*",'Loan Entry'!$M$55:$M$58,'Loans to Cash Flows Wkst'!P$2)+SUMIFS('Loan Entry'!$W$39:$W$42,'Loan Entry'!$D$39:$D$42,$C$18,'Loan Entry'!$AB$39:$AB$42,"*Jun*",'Loan Entry'!$M$39:$M$42,'Loans to Cash Flows Wkst'!P$2)</f>
        <v>0</v>
      </c>
      <c r="Q24" s="765">
        <f>SUMIFS('Loan Entry'!$W$15:$W$18,'Loan Entry'!$D$15:$D$18,$C$18,'Loan Entry'!$AB$15:$AB$18,"*Jun*",'Loan Entry'!$M$15:$M$18,'Loans to Cash Flows Wkst'!Q$2)+SUMIFS('Loan Entry'!$W$23:$W$26,'Loan Entry'!$D$23:$D$26,$C$18,'Loan Entry'!$AB$23:$AB$26,"*Jun*",'Loan Entry'!$M$23:$M$26,'Loans to Cash Flows Wkst'!Q$2)+SUMIFS('Loan Entry'!$W$31:$W$34,'Loan Entry'!$D$31:$D$34,$C$18,'Loan Entry'!$AB$31:$AB$34,"*Jun*",'Loan Entry'!$M$31:$M$34,'Loans to Cash Flows Wkst'!Q$2)+SUMIFS('Loan Entry'!$W$47:$W$50,'Loan Entry'!$D$47:$D$50,$C$18,'Loan Entry'!$AB$47:$AB$50,"*Jun*",'Loan Entry'!$M$47:$M$50,'Loans to Cash Flows Wkst'!Q$2)+SUMIFS('Loan Entry'!$W$55:$W$58,'Loan Entry'!$D$55:$D$58,$C$18,'Loan Entry'!$AB$55:$AB$58,"*Jun*",'Loan Entry'!$M$55:$M$58,'Loans to Cash Flows Wkst'!Q$2)+SUMIFS('Loan Entry'!$W$39:$W$42,'Loan Entry'!$D$39:$D$42,$C$18,'Loan Entry'!$AB$39:$AB$42,"*Jun*",'Loan Entry'!$M$39:$M$42,'Loans to Cash Flows Wkst'!Q$2)</f>
        <v>0</v>
      </c>
    </row>
    <row r="25" spans="2:17" x14ac:dyDescent="0.2">
      <c r="B25" s="855" t="s">
        <v>191</v>
      </c>
      <c r="C25" s="856" t="s">
        <v>10</v>
      </c>
      <c r="D25" s="764">
        <f>SUM('Loans to Cash Flows Wkst'!$H25:$K25)</f>
        <v>0</v>
      </c>
      <c r="E25" s="764">
        <f>SUM('Loans to Cash Flows Wkst'!$N25:$Q25)</f>
        <v>0</v>
      </c>
      <c r="G25" s="855" t="s">
        <v>10</v>
      </c>
      <c r="H25" s="857">
        <f>SUMIFS('Loan Entry'!$V$15:$V$18,'Loan Entry'!$D$15:$D$18,$C$18,'Loan Entry'!$AB$15:$AB$18,$C25,'Loan Entry'!$M$15:$M$18,'Loans to Cash Flows Wkst'!H$2)+SUMIFS('Loan Entry'!$V$23:$V$26,'Loan Entry'!$D$23:$D$26,$C$18,'Loan Entry'!$AB$23:$AB$26,$C25,'Loan Entry'!$M$23:$M$26,'Loans to Cash Flows Wkst'!H$2)+SUMIFS('Loan Entry'!$V$31:$V$34,'Loan Entry'!$D$31:$D$34,$C$18,'Loan Entry'!$AB$31:$AB$34,$C25,'Loan Entry'!$M$31:$M$34,'Loans to Cash Flows Wkst'!H$2)+SUMIFS('Loan Entry'!$V$47:$V$50,'Loan Entry'!$D$47:$D$50,$C$18,'Loan Entry'!$AB$47:$AB$50,$C25,'Loan Entry'!$M$47:$M$50,'Loans to Cash Flows Wkst'!H$2) +SUMIFS('Loan Entry'!$V$55:$V$58,'Loan Entry'!$D$55:$D$58,$C$18,'Loan Entry'!$AB$55:$AB$58,$C25,'Loan Entry'!$M$55:$M$58,'Loans to Cash Flows Wkst'!H$2)+SUMIFS('Loan Entry'!$V$39:$V$42,'Loan Entry'!$D$39:$D$42,$C$18,'Loan Entry'!$AB$39:$AB$42,$C25,'Loan Entry'!$M$39:$M$42,'Loans to Cash Flows Wkst'!H$2)</f>
        <v>0</v>
      </c>
      <c r="I25" s="764">
        <f>SUMIFS('Loan Entry'!$V$15:$V$18,'Loan Entry'!$D$15:$D$18,$C$18,'Loan Entry'!$AB$15:$AB$18,"*Jul*",'Loan Entry'!$M$15:$M$18,'Loans to Cash Flows Wkst'!I$2)+SUMIFS('Loan Entry'!$V$23:$V$26,'Loan Entry'!$D$23:$D$26,$C$18,'Loan Entry'!$AB$23:$AB$26,"*Jul*",'Loan Entry'!$M$23:$M$26,'Loans to Cash Flows Wkst'!I$2)+SUMIFS('Loan Entry'!$V$31:$V$34,'Loan Entry'!$D$31:$D$34,$C$18,'Loan Entry'!$AB$31:$AB$34,"*Jul*",'Loan Entry'!$M$31:$M$34,'Loans to Cash Flows Wkst'!I$2)+SUMIFS('Loan Entry'!$V$47:$V$50,'Loan Entry'!$D$47:$D$50,$C$18,'Loan Entry'!$AB$47:$AB$50,"*Jul*",'Loan Entry'!$M$47:$M$50,'Loans to Cash Flows Wkst'!I$2)+SUMIFS('Loan Entry'!$V$55:$V$58,'Loan Entry'!$D$55:$D$58,$C$18,'Loan Entry'!$AB$55:$AB$58,"*Jul*",'Loan Entry'!$M$55:$M$58,'Loans to Cash Flows Wkst'!I$2)+SUMIFS('Loan Entry'!$V$39:$V$42,'Loan Entry'!$D$39:$D$42,$C$18,'Loan Entry'!$AB$39:$AB$42,"*Jul*",'Loan Entry'!$M$39:$M$42,'Loans to Cash Flows Wkst'!I$2)</f>
        <v>0</v>
      </c>
      <c r="J25" s="764">
        <f>SUMIFS('Loan Entry'!$V$15:$V$18,'Loan Entry'!$D$15:$D$18,$C$18,'Loan Entry'!$AB$15:$AB$18,"*Jul*",'Loan Entry'!$M$15:$M$18,'Loans to Cash Flows Wkst'!J$2)+SUMIFS('Loan Entry'!$V$23:$V$26,'Loan Entry'!$D$23:$D$26,$C$18,'Loan Entry'!$AB$23:$AB$26,"*Jul*",'Loan Entry'!$M$23:$M$26,'Loans to Cash Flows Wkst'!J$2)+SUMIFS('Loan Entry'!$V$31:$V$34,'Loan Entry'!$D$31:$D$34,$C$18,'Loan Entry'!$AB$31:$AB$34,"*Jul*",'Loan Entry'!$M$31:$M$34,'Loans to Cash Flows Wkst'!J$2)+SUMIFS('Loan Entry'!$V$47:$V$50,'Loan Entry'!$D$47:$D$50,$C$18,'Loan Entry'!$AB$47:$AB$50,"*Jul*",'Loan Entry'!$M$47:$M$50,'Loans to Cash Flows Wkst'!J$2) +SUMIFS('Loan Entry'!$V$55:$V$58,'Loan Entry'!$D$55:$D$58,$C$18,'Loan Entry'!$AB$55:$AB$58,"*Jul*",'Loan Entry'!$M$55:$M$58,'Loans to Cash Flows Wkst'!J$2)+SUMIFS('Loan Entry'!$V$39:$V$42,'Loan Entry'!$D$39:$D$42,$C$18,'Loan Entry'!$AB$39:$AB$42,"*Jul*",'Loan Entry'!$M$39:$M$42,'Loans to Cash Flows Wkst'!J$2)</f>
        <v>0</v>
      </c>
      <c r="K25" s="764">
        <f>SUMIFS('Loan Entry'!$V$15:$V$18,'Loan Entry'!$D$15:$D$18,$C$18,'Loan Entry'!$AB$15:$AB$18,"*Jul*",'Loan Entry'!$M$15:$M$18,'Loans to Cash Flows Wkst'!K$2)+SUMIFS('Loan Entry'!$V$23:$V$26,'Loan Entry'!$D$23:$D$26,$C$18,'Loan Entry'!$AB$23:$AB$26,"*Jul*",'Loan Entry'!$M$23:$M$26,'Loans to Cash Flows Wkst'!K$2)+SUMIFS('Loan Entry'!$V$31:$V$34,'Loan Entry'!$D$31:$D$34,$C$18,'Loan Entry'!$AB$31:$AB$34,"*Jul*",'Loan Entry'!$M$31:$M$34,'Loans to Cash Flows Wkst'!K$2)+SUMIFS('Loan Entry'!$V$47:$V$50,'Loan Entry'!$D$47:$D$50,$C$18,'Loan Entry'!$AB$47:$AB$50,"*Jul*",'Loan Entry'!$M$47:$M$50,'Loans to Cash Flows Wkst'!K$2) +SUMIFS('Loan Entry'!$V$55:$V$58,'Loan Entry'!$D$55:$D$58,$C$18,'Loan Entry'!$AB$55:$AB$58,"*Jul*",'Loan Entry'!$M$55:$M$58,'Loans to Cash Flows Wkst'!K$2)+SUMIFS('Loan Entry'!$V$39:$V$42,'Loan Entry'!$D$39:$D$42,$C$18,'Loan Entry'!$AB$39:$AB$42,"*Jul*",'Loan Entry'!$M$39:$M$42,'Loans to Cash Flows Wkst'!K$2)</f>
        <v>0</v>
      </c>
      <c r="M25" s="855" t="s">
        <v>10</v>
      </c>
      <c r="N25" s="764">
        <f>SUMIFS('Loan Entry'!$W$15:$W$18,'Loan Entry'!$D$15:$D$18,$C$18,'Loan Entry'!$AB$15:$AB$18,$C25,'Loan Entry'!$M$15:$M$18,'Loans to Cash Flows Wkst'!N$2)+SUMIFS('Loan Entry'!$W$23:$W$26,'Loan Entry'!$D$23:$D$26,$C$18,'Loan Entry'!$AB$23:$AB$26,$C25,'Loan Entry'!$M$23:$M$26,'Loans to Cash Flows Wkst'!N$2)+SUMIFS('Loan Entry'!$W$31:$W$34,'Loan Entry'!$D$31:$D$34,$C$18,'Loan Entry'!$AB$31:$AB$34,$C25,'Loan Entry'!$M$31:$M$34,'Loans to Cash Flows Wkst'!N$2)+SUMIFS('Loan Entry'!$W$47:$W$50,'Loan Entry'!$D$47:$D$50,$C$18,'Loan Entry'!$AB$47:$AB$50,$C25,'Loan Entry'!$M$47:$M$50,'Loans to Cash Flows Wkst'!N$2)+SUMIFS('Loan Entry'!$W$55:$W$58,'Loan Entry'!$D$55:$D$58,$C$18,'Loan Entry'!$AB$55:$AB$58,$C25,'Loan Entry'!$M$55:$M$58,'Loans to Cash Flows Wkst'!N$2)+SUMIFS('Loan Entry'!$W$39:$W$42,'Loan Entry'!$D$39:$D$42,$C$18,'Loan Entry'!$AB$39:$AB$42,$C25,'Loan Entry'!$M$39:$M$42,'Loans to Cash Flows Wkst'!N$2)</f>
        <v>0</v>
      </c>
      <c r="O25" s="764">
        <f>SUMIFS('Loan Entry'!$W$15:$W$18,'Loan Entry'!$D$15:$D$18,$C$18,'Loan Entry'!$AB$15:$AB$18,"*Jul*",'Loan Entry'!$M$15:$M$18,'Loans to Cash Flows Wkst'!O$2)+SUMIFS('Loan Entry'!$W$23:$W$26,'Loan Entry'!$D$23:$D$26,$C$18,'Loan Entry'!$AB$23:$AB$26,"*Jul*",'Loan Entry'!$M$23:$M$26,'Loans to Cash Flows Wkst'!O$2)+SUMIFS('Loan Entry'!$W$31:$W$34,'Loan Entry'!$D$31:$D$34,$C$18,'Loan Entry'!$AB$31:$AB$34,"*Jul*",'Loan Entry'!$M$31:$M$34,'Loans to Cash Flows Wkst'!O$2)+SUMIFS('Loan Entry'!$W$47:$W$50,'Loan Entry'!$D$47:$D$50,$C$18,'Loan Entry'!$AB$47:$AB$50,"*Jul*",'Loan Entry'!$M$47:$M$50,'Loans to Cash Flows Wkst'!O$2)+SUMIFS('Loan Entry'!$W$55:$W$58,'Loan Entry'!$D$55:$D$58,$C$18,'Loan Entry'!$AB$55:$AB$58,"*Jul*",'Loan Entry'!$M$55:$M$58,'Loans to Cash Flows Wkst'!O$2)+SUMIFS('Loan Entry'!$W$39:$W$42,'Loan Entry'!$D$39:$D$42,$C$18,'Loan Entry'!$AB$39:$AB$42,"*Jul*",'Loan Entry'!$M$39:$M$42,'Loans to Cash Flows Wkst'!O$2)</f>
        <v>0</v>
      </c>
      <c r="P25" s="764">
        <f>SUMIFS('Loan Entry'!$W$15:$W$18,'Loan Entry'!$D$15:$D$18,$C$18,'Loan Entry'!$AB$15:$AB$18,"*Jul*",'Loan Entry'!$M$15:$M$18,'Loans to Cash Flows Wkst'!P$2)+SUMIFS('Loan Entry'!$W$23:$W$26,'Loan Entry'!$D$23:$D$26,$C$18,'Loan Entry'!$AB$23:$AB$26,"*Jul*",'Loan Entry'!$M$23:$M$26,'Loans to Cash Flows Wkst'!P$2)+SUMIFS('Loan Entry'!$W$31:$W$34,'Loan Entry'!$D$31:$D$34,$C$18,'Loan Entry'!$AB$31:$AB$34,"*Jul*",'Loan Entry'!$M$31:$M$34,'Loans to Cash Flows Wkst'!P$2)+SUMIFS('Loan Entry'!$W$47:$W$50,'Loan Entry'!$D$47:$D$50,$C$18,'Loan Entry'!$AB$47:$AB$50,"*Jul*",'Loan Entry'!$M$47:$M$50,'Loans to Cash Flows Wkst'!P$2)+SUMIFS('Loan Entry'!$W$55:$W$58,'Loan Entry'!$D$55:$D$58,$C$18,'Loan Entry'!$AB$55:$AB$58,"*Jul*",'Loan Entry'!$M$55:$M$58,'Loans to Cash Flows Wkst'!P$2)+SUMIFS('Loan Entry'!$W$39:$W$42,'Loan Entry'!$D$39:$D$42,$C$18,'Loan Entry'!$AB$39:$AB$42,"*Jul*",'Loan Entry'!$M$39:$M$42,'Loans to Cash Flows Wkst'!P$2)</f>
        <v>0</v>
      </c>
      <c r="Q25" s="764">
        <f>SUMIFS('Loan Entry'!$W$15:$W$18,'Loan Entry'!$D$15:$D$18,$C$18,'Loan Entry'!$AB$15:$AB$18,"*Jul*",'Loan Entry'!$M$15:$M$18,'Loans to Cash Flows Wkst'!Q$2)+SUMIFS('Loan Entry'!$W$23:$W$26,'Loan Entry'!$D$23:$D$26,$C$18,'Loan Entry'!$AB$23:$AB$26,"*Jul*",'Loan Entry'!$M$23:$M$26,'Loans to Cash Flows Wkst'!Q$2)+SUMIFS('Loan Entry'!$W$31:$W$34,'Loan Entry'!$D$31:$D$34,$C$18,'Loan Entry'!$AB$31:$AB$34,"*Jul*",'Loan Entry'!$M$31:$M$34,'Loans to Cash Flows Wkst'!Q$2)+SUMIFS('Loan Entry'!$W$47:$W$50,'Loan Entry'!$D$47:$D$50,$C$18,'Loan Entry'!$AB$47:$AB$50,"*Jul*",'Loan Entry'!$M$47:$M$50,'Loans to Cash Flows Wkst'!Q$2)+SUMIFS('Loan Entry'!$W$55:$W$58,'Loan Entry'!$D$55:$D$58,$C$18,'Loan Entry'!$AB$55:$AB$58,"*Jul*",'Loan Entry'!$M$55:$M$58,'Loans to Cash Flows Wkst'!Q$2)+SUMIFS('Loan Entry'!$W$39:$W$42,'Loan Entry'!$D$39:$D$42,$C$18,'Loan Entry'!$AB$39:$AB$42,"*Jul*",'Loan Entry'!$M$39:$M$42,'Loans to Cash Flows Wkst'!Q$2)</f>
        <v>0</v>
      </c>
    </row>
    <row r="26" spans="2:17" x14ac:dyDescent="0.2">
      <c r="B26" s="852" t="s">
        <v>192</v>
      </c>
      <c r="C26" s="858" t="s">
        <v>11</v>
      </c>
      <c r="D26" s="765">
        <f>SUM('Loans to Cash Flows Wkst'!$H26:$K26)</f>
        <v>0</v>
      </c>
      <c r="E26" s="765">
        <f>SUM('Loans to Cash Flows Wkst'!$N26:$Q26)</f>
        <v>0</v>
      </c>
      <c r="G26" s="852" t="s">
        <v>11</v>
      </c>
      <c r="H26" s="854">
        <f>SUMIFS('Loan Entry'!$V$15:$V$18,'Loan Entry'!$D$15:$D$18,$C$18,'Loan Entry'!$AB$15:$AB$18,$C26,'Loan Entry'!$M$15:$M$18,'Loans to Cash Flows Wkst'!H$2)+SUMIFS('Loan Entry'!$V$23:$V$26,'Loan Entry'!$D$23:$D$26,$C$18,'Loan Entry'!$AB$23:$AB$26,$C26,'Loan Entry'!$M$23:$M$26,'Loans to Cash Flows Wkst'!H$2)+SUMIFS('Loan Entry'!$V$31:$V$34,'Loan Entry'!$D$31:$D$34,$C$18,'Loan Entry'!$AB$31:$AB$34,$C26,'Loan Entry'!$M$31:$M$34,'Loans to Cash Flows Wkst'!H$2)+SUMIFS('Loan Entry'!$V$47:$V$50,'Loan Entry'!$D$47:$D$50,$C$18,'Loan Entry'!$AB$47:$AB$50,$C26,'Loan Entry'!$M$47:$M$50,'Loans to Cash Flows Wkst'!H$2) +SUMIFS('Loan Entry'!$V$55:$V$58,'Loan Entry'!$D$55:$D$58,$C$18,'Loan Entry'!$AB$55:$AB$58,$C26,'Loan Entry'!$M$55:$M$58,'Loans to Cash Flows Wkst'!H$2)+SUMIFS('Loan Entry'!$V$39:$V$42,'Loan Entry'!$D$39:$D$42,$C$18,'Loan Entry'!$AB$39:$AB$42,$C26,'Loan Entry'!$M$39:$M$42,'Loans to Cash Flows Wkst'!H$2)</f>
        <v>0</v>
      </c>
      <c r="I26" s="765">
        <f>SUMIFS('Loan Entry'!$V$15:$V$18,'Loan Entry'!$D$15:$D$18,$C$18,'Loan Entry'!$AB$15:$AB$18,"*Aug*",'Loan Entry'!$M$15:$M$18,'Loans to Cash Flows Wkst'!I$2)+SUMIFS('Loan Entry'!$V$23:$V$26,'Loan Entry'!$D$23:$D$26,$C$18,'Loan Entry'!$AB$23:$AB$26,"*Aug*",'Loan Entry'!$M$23:$M$26,'Loans to Cash Flows Wkst'!I$2)+SUMIFS('Loan Entry'!$V$31:$V$34,'Loan Entry'!$D$31:$D$34,$C$18,'Loan Entry'!$AB$31:$AB$34,"*Aug*",'Loan Entry'!$M$31:$M$34,'Loans to Cash Flows Wkst'!I$2)+SUMIFS('Loan Entry'!$V$47:$V$50,'Loan Entry'!$D$47:$D$50,$C$18,'Loan Entry'!$AB$47:$AB$50,"*Aug*",'Loan Entry'!$M$47:$M$50,'Loans to Cash Flows Wkst'!I$2)+SUMIFS('Loan Entry'!$V$55:$V$58,'Loan Entry'!$D$55:$D$58,$C$18,'Loan Entry'!$AB$55:$AB$58,"*Aug*",'Loan Entry'!$M$55:$M$58,'Loans to Cash Flows Wkst'!I$2)+SUMIFS('Loan Entry'!$V$39:$V$42,'Loan Entry'!$D$39:$D$42,$C$18,'Loan Entry'!$AB$39:$AB$42,"*Aug*",'Loan Entry'!$M$39:$M$42,'Loans to Cash Flows Wkst'!I$2)</f>
        <v>0</v>
      </c>
      <c r="J26" s="765">
        <f>SUMIFS('Loan Entry'!$V$15:$V$18,'Loan Entry'!$D$15:$D$18,$C$18,'Loan Entry'!$AB$15:$AB$18,"*Aug*",'Loan Entry'!$M$15:$M$18,'Loans to Cash Flows Wkst'!J$2)+SUMIFS('Loan Entry'!$V$23:$V$26,'Loan Entry'!$D$23:$D$26,$C$18,'Loan Entry'!$AB$23:$AB$26,"*Aug*",'Loan Entry'!$M$23:$M$26,'Loans to Cash Flows Wkst'!J$2)+SUMIFS('Loan Entry'!$V$31:$V$34,'Loan Entry'!$D$31:$D$34,$C$18,'Loan Entry'!$AB$31:$AB$34,"*Aug*",'Loan Entry'!$M$31:$M$34,'Loans to Cash Flows Wkst'!J$2)+SUMIFS('Loan Entry'!$V$47:$V$50,'Loan Entry'!$D$47:$D$50,$C$18,'Loan Entry'!$AB$47:$AB$50,"*Aug*",'Loan Entry'!$M$47:$M$50,'Loans to Cash Flows Wkst'!J$2) +SUMIFS('Loan Entry'!$V$55:$V$58,'Loan Entry'!$D$55:$D$58,$C$18,'Loan Entry'!$AB$55:$AB$58,"*Aug*",'Loan Entry'!$M$55:$M$58,'Loans to Cash Flows Wkst'!J$2)+SUMIFS('Loan Entry'!$V$39:$V$42,'Loan Entry'!$D$39:$D$42,$C$18,'Loan Entry'!$AB$39:$AB$42,"*Aug*",'Loan Entry'!$M$39:$M$42,'Loans to Cash Flows Wkst'!J$2)</f>
        <v>0</v>
      </c>
      <c r="K26" s="765">
        <f>SUMIFS('Loan Entry'!$V$15:$V$18,'Loan Entry'!$D$15:$D$18,$C$18,'Loan Entry'!$AB$15:$AB$18,"*Aug*",'Loan Entry'!$M$15:$M$18,'Loans to Cash Flows Wkst'!K$2)+SUMIFS('Loan Entry'!$V$23:$V$26,'Loan Entry'!$D$23:$D$26,$C$18,'Loan Entry'!$AB$23:$AB$26,"*Aug*",'Loan Entry'!$M$23:$M$26,'Loans to Cash Flows Wkst'!K$2)+SUMIFS('Loan Entry'!$V$31:$V$34,'Loan Entry'!$D$31:$D$34,$C$18,'Loan Entry'!$AB$31:$AB$34,"*Aug*",'Loan Entry'!$M$31:$M$34,'Loans to Cash Flows Wkst'!K$2)+SUMIFS('Loan Entry'!$V$47:$V$50,'Loan Entry'!$D$47:$D$50,$C$18,'Loan Entry'!$AB$47:$AB$50,"*Aug*",'Loan Entry'!$M$47:$M$50,'Loans to Cash Flows Wkst'!K$2) +SUMIFS('Loan Entry'!$V$55:$V$58,'Loan Entry'!$D$55:$D$58,$C$18,'Loan Entry'!$AB$55:$AB$58,"*Aug*",'Loan Entry'!$M$55:$M$58,'Loans to Cash Flows Wkst'!K$2)+SUMIFS('Loan Entry'!$V$39:$V$42,'Loan Entry'!$D$39:$D$42,$C$18,'Loan Entry'!$AB$39:$AB$42,"*Aug*",'Loan Entry'!$M$39:$M$42,'Loans to Cash Flows Wkst'!K$2)</f>
        <v>0</v>
      </c>
      <c r="M26" s="852" t="s">
        <v>11</v>
      </c>
      <c r="N26" s="765">
        <f>SUMIFS('Loan Entry'!$W$15:$W$18,'Loan Entry'!$D$15:$D$18,$C$18,'Loan Entry'!$AB$15:$AB$18,$C26,'Loan Entry'!$M$15:$M$18,'Loans to Cash Flows Wkst'!N$2)+SUMIFS('Loan Entry'!$W$23:$W$26,'Loan Entry'!$D$23:$D$26,$C$18,'Loan Entry'!$AB$23:$AB$26,$C26,'Loan Entry'!$M$23:$M$26,'Loans to Cash Flows Wkst'!N$2)+SUMIFS('Loan Entry'!$W$31:$W$34,'Loan Entry'!$D$31:$D$34,$C$18,'Loan Entry'!$AB$31:$AB$34,$C26,'Loan Entry'!$M$31:$M$34,'Loans to Cash Flows Wkst'!N$2)+SUMIFS('Loan Entry'!$W$47:$W$50,'Loan Entry'!$D$47:$D$50,$C$18,'Loan Entry'!$AB$47:$AB$50,$C26,'Loan Entry'!$M$47:$M$50,'Loans to Cash Flows Wkst'!N$2)+SUMIFS('Loan Entry'!$W$55:$W$58,'Loan Entry'!$D$55:$D$58,$C$18,'Loan Entry'!$AB$55:$AB$58,$C26,'Loan Entry'!$M$55:$M$58,'Loans to Cash Flows Wkst'!N$2)+SUMIFS('Loan Entry'!$W$39:$W$42,'Loan Entry'!$D$39:$D$42,$C$18,'Loan Entry'!$AB$39:$AB$42,$C26,'Loan Entry'!$M$39:$M$42,'Loans to Cash Flows Wkst'!N$2)</f>
        <v>0</v>
      </c>
      <c r="O26" s="765">
        <f>SUMIFS('Loan Entry'!$W$15:$W$18,'Loan Entry'!$D$15:$D$18,$C$18,'Loan Entry'!$AB$15:$AB$18,"*Aug*",'Loan Entry'!$M$15:$M$18,'Loans to Cash Flows Wkst'!O$2)+SUMIFS('Loan Entry'!$W$23:$W$26,'Loan Entry'!$D$23:$D$26,$C$18,'Loan Entry'!$AB$23:$AB$26,"*Aug*",'Loan Entry'!$M$23:$M$26,'Loans to Cash Flows Wkst'!O$2)+SUMIFS('Loan Entry'!$W$31:$W$34,'Loan Entry'!$D$31:$D$34,$C$18,'Loan Entry'!$AB$31:$AB$34,"*Aug*",'Loan Entry'!$M$31:$M$34,'Loans to Cash Flows Wkst'!O$2)+SUMIFS('Loan Entry'!$W$47:$W$50,'Loan Entry'!$D$47:$D$50,$C$18,'Loan Entry'!$AB$47:$AB$50,"*Aug*",'Loan Entry'!$M$47:$M$50,'Loans to Cash Flows Wkst'!O$2)+SUMIFS('Loan Entry'!$W$55:$W$58,'Loan Entry'!$D$55:$D$58,$C$18,'Loan Entry'!$AB$55:$AB$58,"*Aug*",'Loan Entry'!$M$55:$M$58,'Loans to Cash Flows Wkst'!O$2)+SUMIFS('Loan Entry'!$W$39:$W$42,'Loan Entry'!$D$39:$D$42,$C$18,'Loan Entry'!$AB$39:$AB$42,"*Aug*",'Loan Entry'!$M$39:$M$42,'Loans to Cash Flows Wkst'!O$2)</f>
        <v>0</v>
      </c>
      <c r="P26" s="765">
        <f>SUMIFS('Loan Entry'!$W$15:$W$18,'Loan Entry'!$D$15:$D$18,$C$18,'Loan Entry'!$AB$15:$AB$18,"*Aug*",'Loan Entry'!$M$15:$M$18,'Loans to Cash Flows Wkst'!P$2)+SUMIFS('Loan Entry'!$W$23:$W$26,'Loan Entry'!$D$23:$D$26,$C$18,'Loan Entry'!$AB$23:$AB$26,"*Aug*",'Loan Entry'!$M$23:$M$26,'Loans to Cash Flows Wkst'!P$2)+SUMIFS('Loan Entry'!$W$31:$W$34,'Loan Entry'!$D$31:$D$34,$C$18,'Loan Entry'!$AB$31:$AB$34,"*Aug*",'Loan Entry'!$M$31:$M$34,'Loans to Cash Flows Wkst'!P$2)+SUMIFS('Loan Entry'!$W$47:$W$50,'Loan Entry'!$D$47:$D$50,$C$18,'Loan Entry'!$AB$47:$AB$50,"*Aug*",'Loan Entry'!$M$47:$M$50,'Loans to Cash Flows Wkst'!P$2)+SUMIFS('Loan Entry'!$W$55:$W$58,'Loan Entry'!$D$55:$D$58,$C$18,'Loan Entry'!$AB$55:$AB$58,"*Aug*",'Loan Entry'!$M$55:$M$58,'Loans to Cash Flows Wkst'!P$2)+SUMIFS('Loan Entry'!$W$39:$W$42,'Loan Entry'!$D$39:$D$42,$C$18,'Loan Entry'!$AB$39:$AB$42,"*Aug*",'Loan Entry'!$M$39:$M$42,'Loans to Cash Flows Wkst'!P$2)</f>
        <v>0</v>
      </c>
      <c r="Q26" s="765">
        <f>SUMIFS('Loan Entry'!$W$15:$W$18,'Loan Entry'!$D$15:$D$18,$C$18,'Loan Entry'!$AB$15:$AB$18,"*Aug*",'Loan Entry'!$M$15:$M$18,'Loans to Cash Flows Wkst'!Q$2)+SUMIFS('Loan Entry'!$W$23:$W$26,'Loan Entry'!$D$23:$D$26,$C$18,'Loan Entry'!$AB$23:$AB$26,"*Aug*",'Loan Entry'!$M$23:$M$26,'Loans to Cash Flows Wkst'!Q$2)+SUMIFS('Loan Entry'!$W$31:$W$34,'Loan Entry'!$D$31:$D$34,$C$18,'Loan Entry'!$AB$31:$AB$34,"*Aug*",'Loan Entry'!$M$31:$M$34,'Loans to Cash Flows Wkst'!Q$2)+SUMIFS('Loan Entry'!$W$47:$W$50,'Loan Entry'!$D$47:$D$50,$C$18,'Loan Entry'!$AB$47:$AB$50,"*Aug*",'Loan Entry'!$M$47:$M$50,'Loans to Cash Flows Wkst'!Q$2)+SUMIFS('Loan Entry'!$W$55:$W$58,'Loan Entry'!$D$55:$D$58,$C$18,'Loan Entry'!$AB$55:$AB$58,"*Aug*",'Loan Entry'!$M$55:$M$58,'Loans to Cash Flows Wkst'!Q$2)+SUMIFS('Loan Entry'!$W$39:$W$42,'Loan Entry'!$D$39:$D$42,$C$18,'Loan Entry'!$AB$39:$AB$42,"*Aug*",'Loan Entry'!$M$39:$M$42,'Loans to Cash Flows Wkst'!Q$2)</f>
        <v>0</v>
      </c>
    </row>
    <row r="27" spans="2:17" x14ac:dyDescent="0.2">
      <c r="B27" s="855" t="s">
        <v>193</v>
      </c>
      <c r="C27" s="856" t="s">
        <v>12</v>
      </c>
      <c r="D27" s="764">
        <f>SUM('Loans to Cash Flows Wkst'!$H27:$K27)</f>
        <v>0</v>
      </c>
      <c r="E27" s="764">
        <f>SUM('Loans to Cash Flows Wkst'!$N27:$Q27)</f>
        <v>0</v>
      </c>
      <c r="G27" s="855" t="s">
        <v>12</v>
      </c>
      <c r="H27" s="857">
        <f>SUMIFS('Loan Entry'!$V$15:$V$18,'Loan Entry'!$D$15:$D$18,$C$18,'Loan Entry'!$AB$15:$AB$18,$C27,'Loan Entry'!$M$15:$M$18,'Loans to Cash Flows Wkst'!H$2)+SUMIFS('Loan Entry'!$V$23:$V$26,'Loan Entry'!$D$23:$D$26,$C$18,'Loan Entry'!$AB$23:$AB$26,$C27,'Loan Entry'!$M$23:$M$26,'Loans to Cash Flows Wkst'!H$2)+SUMIFS('Loan Entry'!$V$31:$V$34,'Loan Entry'!$D$31:$D$34,$C$18,'Loan Entry'!$AB$31:$AB$34,$C27,'Loan Entry'!$M$31:$M$34,'Loans to Cash Flows Wkst'!H$2)+SUMIFS('Loan Entry'!$V$47:$V$50,'Loan Entry'!$D$47:$D$50,$C$18,'Loan Entry'!$AB$47:$AB$50,$C27,'Loan Entry'!$M$47:$M$50,'Loans to Cash Flows Wkst'!H$2) +SUMIFS('Loan Entry'!$V$55:$V$58,'Loan Entry'!$D$55:$D$58,$C$18,'Loan Entry'!$AB$55:$AB$58,$C27,'Loan Entry'!$M$55:$M$58,'Loans to Cash Flows Wkst'!H$2)+SUMIFS('Loan Entry'!$V$39:$V$42,'Loan Entry'!$D$39:$D$42,$C$18,'Loan Entry'!$AB$39:$AB$42,$C27,'Loan Entry'!$M$39:$M$42,'Loans to Cash Flows Wkst'!H$2)</f>
        <v>0</v>
      </c>
      <c r="I27" s="764">
        <f>SUMIFS('Loan Entry'!$V$15:$V$18,'Loan Entry'!$D$15:$D$18,$C$18,'Loan Entry'!$AB$15:$AB$18,"*Sep*",'Loan Entry'!$M$15:$M$18,'Loans to Cash Flows Wkst'!I$2)+SUMIFS('Loan Entry'!$V$23:$V$26,'Loan Entry'!$D$23:$D$26,$C$18,'Loan Entry'!$AB$23:$AB$26,"*Sep*",'Loan Entry'!$M$23:$M$26,'Loans to Cash Flows Wkst'!I$2)+SUMIFS('Loan Entry'!$V$31:$V$34,'Loan Entry'!$D$31:$D$34,$C$18,'Loan Entry'!$AB$31:$AB$34,"*Sep*",'Loan Entry'!$M$31:$M$34,'Loans to Cash Flows Wkst'!I$2)+SUMIFS('Loan Entry'!$V$47:$V$50,'Loan Entry'!$D$47:$D$50,$C$18,'Loan Entry'!$AB$47:$AB$50,"*Sep*",'Loan Entry'!$M$47:$M$50,'Loans to Cash Flows Wkst'!I$2)+SUMIFS('Loan Entry'!$V$55:$V$58,'Loan Entry'!$D$55:$D$58,$C$18,'Loan Entry'!$AB$55:$AB$58,"*Sep*",'Loan Entry'!$M$55:$M$58,'Loans to Cash Flows Wkst'!I$2)+SUMIFS('Loan Entry'!$V$39:$V$42,'Loan Entry'!$D$39:$D$42,$C$18,'Loan Entry'!$AB$39:$AB$42,"*Sep*",'Loan Entry'!$M$39:$M$42,'Loans to Cash Flows Wkst'!I$2)</f>
        <v>0</v>
      </c>
      <c r="J27" s="764">
        <f>SUMIFS('Loan Entry'!$V$15:$V$18,'Loan Entry'!$D$15:$D$18,$C$18,'Loan Entry'!$AB$15:$AB$18,"*Sep*",'Loan Entry'!$M$15:$M$18,'Loans to Cash Flows Wkst'!J$2)+SUMIFS('Loan Entry'!$V$23:$V$26,'Loan Entry'!$D$23:$D$26,$C$18,'Loan Entry'!$AB$23:$AB$26,"*Sep*",'Loan Entry'!$M$23:$M$26,'Loans to Cash Flows Wkst'!J$2)+SUMIFS('Loan Entry'!$V$31:$V$34,'Loan Entry'!$D$31:$D$34,$C$18,'Loan Entry'!$AB$31:$AB$34,"*Sep*",'Loan Entry'!$M$31:$M$34,'Loans to Cash Flows Wkst'!J$2)+SUMIFS('Loan Entry'!$V$47:$V$50,'Loan Entry'!$D$47:$D$50,$C$18,'Loan Entry'!$AB$47:$AB$50,"*Sep*",'Loan Entry'!$M$47:$M$50,'Loans to Cash Flows Wkst'!J$2) +SUMIFS('Loan Entry'!$V$55:$V$58,'Loan Entry'!$D$55:$D$58,$C$18,'Loan Entry'!$AB$55:$AB$58,"*Sep*",'Loan Entry'!$M$55:$M$58,'Loans to Cash Flows Wkst'!J$2)+SUMIFS('Loan Entry'!$V$39:$V$42,'Loan Entry'!$D$39:$D$42,$C$18,'Loan Entry'!$AB$39:$AB$42,"*Sep*",'Loan Entry'!$M$39:$M$42,'Loans to Cash Flows Wkst'!J$2)</f>
        <v>0</v>
      </c>
      <c r="K27" s="764">
        <f>SUMIFS('Loan Entry'!$V$15:$V$18,'Loan Entry'!$D$15:$D$18,$C$18,'Loan Entry'!$AB$15:$AB$18,"*Sep*",'Loan Entry'!$M$15:$M$18,'Loans to Cash Flows Wkst'!K$2)+SUMIFS('Loan Entry'!$V$23:$V$26,'Loan Entry'!$D$23:$D$26,$C$18,'Loan Entry'!$AB$23:$AB$26,"*Sep*",'Loan Entry'!$M$23:$M$26,'Loans to Cash Flows Wkst'!K$2)+SUMIFS('Loan Entry'!$V$31:$V$34,'Loan Entry'!$D$31:$D$34,$C$18,'Loan Entry'!$AB$31:$AB$34,"*Sep*",'Loan Entry'!$M$31:$M$34,'Loans to Cash Flows Wkst'!K$2)+SUMIFS('Loan Entry'!$V$47:$V$50,'Loan Entry'!$D$47:$D$50,$C$18,'Loan Entry'!$AB$47:$AB$50,"*Sep*",'Loan Entry'!$M$47:$M$50,'Loans to Cash Flows Wkst'!K$2) +SUMIFS('Loan Entry'!$V$55:$V$58,'Loan Entry'!$D$55:$D$58,$C$18,'Loan Entry'!$AB$55:$AB$58,"*Sep*",'Loan Entry'!$M$55:$M$58,'Loans to Cash Flows Wkst'!K$2)+SUMIFS('Loan Entry'!$V$39:$V$42,'Loan Entry'!$D$39:$D$42,$C$18,'Loan Entry'!$AB$39:$AB$42,"*Sep*",'Loan Entry'!$M$39:$M$42,'Loans to Cash Flows Wkst'!K$2)</f>
        <v>0</v>
      </c>
      <c r="M27" s="855" t="s">
        <v>12</v>
      </c>
      <c r="N27" s="764">
        <f>SUMIFS('Loan Entry'!$W$15:$W$18,'Loan Entry'!$D$15:$D$18,$C$18,'Loan Entry'!$AB$15:$AB$18,$C27,'Loan Entry'!$M$15:$M$18,'Loans to Cash Flows Wkst'!N$2)+SUMIFS('Loan Entry'!$W$23:$W$26,'Loan Entry'!$D$23:$D$26,$C$18,'Loan Entry'!$AB$23:$AB$26,$C27,'Loan Entry'!$M$23:$M$26,'Loans to Cash Flows Wkst'!N$2)+SUMIFS('Loan Entry'!$W$31:$W$34,'Loan Entry'!$D$31:$D$34,$C$18,'Loan Entry'!$AB$31:$AB$34,$C27,'Loan Entry'!$M$31:$M$34,'Loans to Cash Flows Wkst'!N$2)+SUMIFS('Loan Entry'!$W$47:$W$50,'Loan Entry'!$D$47:$D$50,$C$18,'Loan Entry'!$AB$47:$AB$50,$C27,'Loan Entry'!$M$47:$M$50,'Loans to Cash Flows Wkst'!N$2)+SUMIFS('Loan Entry'!$W$55:$W$58,'Loan Entry'!$D$55:$D$58,$C$18,'Loan Entry'!$AB$55:$AB$58,$C27,'Loan Entry'!$M$55:$M$58,'Loans to Cash Flows Wkst'!N$2)+SUMIFS('Loan Entry'!$W$39:$W$42,'Loan Entry'!$D$39:$D$42,$C$18,'Loan Entry'!$AB$39:$AB$42,$C27,'Loan Entry'!$M$39:$M$42,'Loans to Cash Flows Wkst'!N$2)</f>
        <v>0</v>
      </c>
      <c r="O27" s="764">
        <f>SUMIFS('Loan Entry'!$W$15:$W$18,'Loan Entry'!$D$15:$D$18,$C$18,'Loan Entry'!$AB$15:$AB$18,"*Sep*",'Loan Entry'!$M$15:$M$18,'Loans to Cash Flows Wkst'!O$2)+SUMIFS('Loan Entry'!$W$23:$W$26,'Loan Entry'!$D$23:$D$26,$C$18,'Loan Entry'!$AB$23:$AB$26,"*Sep*",'Loan Entry'!$M$23:$M$26,'Loans to Cash Flows Wkst'!O$2)+SUMIFS('Loan Entry'!$W$31:$W$34,'Loan Entry'!$D$31:$D$34,$C$18,'Loan Entry'!$AB$31:$AB$34,"*Sep*",'Loan Entry'!$M$31:$M$34,'Loans to Cash Flows Wkst'!O$2)+SUMIFS('Loan Entry'!$W$47:$W$50,'Loan Entry'!$D$47:$D$50,$C$18,'Loan Entry'!$AB$47:$AB$50,"*Sep*",'Loan Entry'!$M$47:$M$50,'Loans to Cash Flows Wkst'!O$2)+SUMIFS('Loan Entry'!$W$55:$W$58,'Loan Entry'!$D$55:$D$58,$C$18,'Loan Entry'!$AB$55:$AB$58,"*Sep*",'Loan Entry'!$M$55:$M$58,'Loans to Cash Flows Wkst'!O$2)+SUMIFS('Loan Entry'!$W$39:$W$42,'Loan Entry'!$D$39:$D$42,$C$18,'Loan Entry'!$AB$39:$AB$42,"*Sep*",'Loan Entry'!$M$39:$M$42,'Loans to Cash Flows Wkst'!O$2)</f>
        <v>0</v>
      </c>
      <c r="P27" s="764">
        <f>SUMIFS('Loan Entry'!$W$15:$W$18,'Loan Entry'!$D$15:$D$18,$C$18,'Loan Entry'!$AB$15:$AB$18,"*Sep*",'Loan Entry'!$M$15:$M$18,'Loans to Cash Flows Wkst'!P$2)+SUMIFS('Loan Entry'!$W$23:$W$26,'Loan Entry'!$D$23:$D$26,$C$18,'Loan Entry'!$AB$23:$AB$26,"*Sep*",'Loan Entry'!$M$23:$M$26,'Loans to Cash Flows Wkst'!P$2)+SUMIFS('Loan Entry'!$W$31:$W$34,'Loan Entry'!$D$31:$D$34,$C$18,'Loan Entry'!$AB$31:$AB$34,"*Sep*",'Loan Entry'!$M$31:$M$34,'Loans to Cash Flows Wkst'!P$2)+SUMIFS('Loan Entry'!$W$47:$W$50,'Loan Entry'!$D$47:$D$50,$C$18,'Loan Entry'!$AB$47:$AB$50,"*Sep*",'Loan Entry'!$M$47:$M$50,'Loans to Cash Flows Wkst'!P$2)+SUMIFS('Loan Entry'!$W$55:$W$58,'Loan Entry'!$D$55:$D$58,$C$18,'Loan Entry'!$AB$55:$AB$58,"*Sep*",'Loan Entry'!$M$55:$M$58,'Loans to Cash Flows Wkst'!P$2)+SUMIFS('Loan Entry'!$W$39:$W$42,'Loan Entry'!$D$39:$D$42,$C$18,'Loan Entry'!$AB$39:$AB$42,"*Sep*",'Loan Entry'!$M$39:$M$42,'Loans to Cash Flows Wkst'!P$2)</f>
        <v>0</v>
      </c>
      <c r="Q27" s="764">
        <f>SUMIFS('Loan Entry'!$W$15:$W$18,'Loan Entry'!$D$15:$D$18,$C$18,'Loan Entry'!$AB$15:$AB$18,"*Sep*",'Loan Entry'!$M$15:$M$18,'Loans to Cash Flows Wkst'!Q$2)+SUMIFS('Loan Entry'!$W$23:$W$26,'Loan Entry'!$D$23:$D$26,$C$18,'Loan Entry'!$AB$23:$AB$26,"*Sep*",'Loan Entry'!$M$23:$M$26,'Loans to Cash Flows Wkst'!Q$2)+SUMIFS('Loan Entry'!$W$31:$W$34,'Loan Entry'!$D$31:$D$34,$C$18,'Loan Entry'!$AB$31:$AB$34,"*Sep*",'Loan Entry'!$M$31:$M$34,'Loans to Cash Flows Wkst'!Q$2)+SUMIFS('Loan Entry'!$W$47:$W$50,'Loan Entry'!$D$47:$D$50,$C$18,'Loan Entry'!$AB$47:$AB$50,"*Sep*",'Loan Entry'!$M$47:$M$50,'Loans to Cash Flows Wkst'!Q$2)+SUMIFS('Loan Entry'!$W$55:$W$58,'Loan Entry'!$D$55:$D$58,$C$18,'Loan Entry'!$AB$55:$AB$58,"*Sep*",'Loan Entry'!$M$55:$M$58,'Loans to Cash Flows Wkst'!Q$2)+SUMIFS('Loan Entry'!$W$39:$W$42,'Loan Entry'!$D$39:$D$42,$C$18,'Loan Entry'!$AB$39:$AB$42,"*Sep*",'Loan Entry'!$M$39:$M$42,'Loans to Cash Flows Wkst'!Q$2)</f>
        <v>0</v>
      </c>
    </row>
    <row r="28" spans="2:17" x14ac:dyDescent="0.2">
      <c r="B28" s="852" t="s">
        <v>194</v>
      </c>
      <c r="C28" s="858" t="s">
        <v>13</v>
      </c>
      <c r="D28" s="765">
        <f>SUM('Loans to Cash Flows Wkst'!$H28:$K28)</f>
        <v>0</v>
      </c>
      <c r="E28" s="765">
        <f>SUM('Loans to Cash Flows Wkst'!$N28:$Q28)</f>
        <v>0</v>
      </c>
      <c r="G28" s="852" t="s">
        <v>13</v>
      </c>
      <c r="H28" s="854">
        <f>SUMIFS('Loan Entry'!$V$15:$V$18,'Loan Entry'!$D$15:$D$18,$C$18,'Loan Entry'!$AB$15:$AB$18,$C28,'Loan Entry'!$M$15:$M$18,'Loans to Cash Flows Wkst'!H$2)+SUMIFS('Loan Entry'!$V$23:$V$26,'Loan Entry'!$D$23:$D$26,$C$18,'Loan Entry'!$AB$23:$AB$26,$C28,'Loan Entry'!$M$23:$M$26,'Loans to Cash Flows Wkst'!H$2)+SUMIFS('Loan Entry'!$V$31:$V$34,'Loan Entry'!$D$31:$D$34,$C$18,'Loan Entry'!$AB$31:$AB$34,$C28,'Loan Entry'!$M$31:$M$34,'Loans to Cash Flows Wkst'!H$2)+SUMIFS('Loan Entry'!$V$47:$V$50,'Loan Entry'!$D$47:$D$50,$C$18,'Loan Entry'!$AB$47:$AB$50,$C28,'Loan Entry'!$M$47:$M$50,'Loans to Cash Flows Wkst'!H$2) +SUMIFS('Loan Entry'!$V$55:$V$58,'Loan Entry'!$D$55:$D$58,$C$18,'Loan Entry'!$AB$55:$AB$58,$C28,'Loan Entry'!$M$55:$M$58,'Loans to Cash Flows Wkst'!H$2)+SUMIFS('Loan Entry'!$V$39:$V$42,'Loan Entry'!$D$39:$D$42,$C$18,'Loan Entry'!$AB$39:$AB$42,$C28,'Loan Entry'!$M$39:$M$42,'Loans to Cash Flows Wkst'!H$2)</f>
        <v>0</v>
      </c>
      <c r="I28" s="765">
        <f>SUMIFS('Loan Entry'!$V$15:$V$18,'Loan Entry'!$D$15:$D$18,$C$18,'Loan Entry'!$AB$15:$AB$18,"*Oct*",'Loan Entry'!$M$15:$M$18,'Loans to Cash Flows Wkst'!I$2)+SUMIFS('Loan Entry'!$V$23:$V$26,'Loan Entry'!$D$23:$D$26,$C$18,'Loan Entry'!$AB$23:$AB$26,"*Oct*",'Loan Entry'!$M$23:$M$26,'Loans to Cash Flows Wkst'!I$2)+SUMIFS('Loan Entry'!$V$31:$V$34,'Loan Entry'!$D$31:$D$34,$C$18,'Loan Entry'!$AB$31:$AB$34,"*Oct*",'Loan Entry'!$M$31:$M$34,'Loans to Cash Flows Wkst'!I$2)+SUMIFS('Loan Entry'!$V$47:$V$50,'Loan Entry'!$D$47:$D$50,$C$18,'Loan Entry'!$AB$47:$AB$50,"*Oct*",'Loan Entry'!$M$47:$M$50,'Loans to Cash Flows Wkst'!I$2)+SUMIFS('Loan Entry'!$V$55:$V$58,'Loan Entry'!$D$55:$D$58,$C$18,'Loan Entry'!$AB$55:$AB$58,"*Oct*",'Loan Entry'!$M$55:$M$58,'Loans to Cash Flows Wkst'!I$2)+SUMIFS('Loan Entry'!$V$39:$V$42,'Loan Entry'!$D$39:$D$42,$C$18,'Loan Entry'!$AB$39:$AB$42,"*Oct*",'Loan Entry'!$M$39:$M$42,'Loans to Cash Flows Wkst'!I$2)</f>
        <v>0</v>
      </c>
      <c r="J28" s="765">
        <f>SUMIFS('Loan Entry'!$V$15:$V$18,'Loan Entry'!$D$15:$D$18,$C$18,'Loan Entry'!$AB$15:$AB$18,"*Oct*",'Loan Entry'!$M$15:$M$18,'Loans to Cash Flows Wkst'!J$2)+SUMIFS('Loan Entry'!$V$23:$V$26,'Loan Entry'!$D$23:$D$26,$C$18,'Loan Entry'!$AB$23:$AB$26,"*Oct*",'Loan Entry'!$M$23:$M$26,'Loans to Cash Flows Wkst'!J$2)+SUMIFS('Loan Entry'!$V$31:$V$34,'Loan Entry'!$D$31:$D$34,$C$18,'Loan Entry'!$AB$31:$AB$34,"*Oct*",'Loan Entry'!$M$31:$M$34,'Loans to Cash Flows Wkst'!J$2)+SUMIFS('Loan Entry'!$V$47:$V$50,'Loan Entry'!$D$47:$D$50,$C$18,'Loan Entry'!$AB$47:$AB$50,"*Oct*",'Loan Entry'!$M$47:$M$50,'Loans to Cash Flows Wkst'!J$2) +SUMIFS('Loan Entry'!$V$55:$V$58,'Loan Entry'!$D$55:$D$58,$C$18,'Loan Entry'!$AB$55:$AB$58,"*Oct*",'Loan Entry'!$M$55:$M$58,'Loans to Cash Flows Wkst'!J$2)+SUMIFS('Loan Entry'!$V$39:$V$42,'Loan Entry'!$D$39:$D$42,$C$18,'Loan Entry'!$AB$39:$AB$42,"*Oct*",'Loan Entry'!$M$39:$M$42,'Loans to Cash Flows Wkst'!J$2)</f>
        <v>0</v>
      </c>
      <c r="K28" s="765">
        <f>SUMIFS('Loan Entry'!$V$15:$V$18,'Loan Entry'!$D$15:$D$18,$C$18,'Loan Entry'!$AB$15:$AB$18,"*Oct*",'Loan Entry'!$M$15:$M$18,'Loans to Cash Flows Wkst'!K$2)+SUMIFS('Loan Entry'!$V$23:$V$26,'Loan Entry'!$D$23:$D$26,$C$18,'Loan Entry'!$AB$23:$AB$26,"*Oct*",'Loan Entry'!$M$23:$M$26,'Loans to Cash Flows Wkst'!K$2)+SUMIFS('Loan Entry'!$V$31:$V$34,'Loan Entry'!$D$31:$D$34,$C$18,'Loan Entry'!$AB$31:$AB$34,"*Oct*",'Loan Entry'!$M$31:$M$34,'Loans to Cash Flows Wkst'!K$2)+SUMIFS('Loan Entry'!$V$47:$V$50,'Loan Entry'!$D$47:$D$50,$C$18,'Loan Entry'!$AB$47:$AB$50,"*Oct*",'Loan Entry'!$M$47:$M$50,'Loans to Cash Flows Wkst'!K$2) +SUMIFS('Loan Entry'!$V$55:$V$58,'Loan Entry'!$D$55:$D$58,$C$18,'Loan Entry'!$AB$55:$AB$58,"*Oct*",'Loan Entry'!$M$55:$M$58,'Loans to Cash Flows Wkst'!K$2)+SUMIFS('Loan Entry'!$V$39:$V$42,'Loan Entry'!$D$39:$D$42,$C$18,'Loan Entry'!$AB$39:$AB$42,"*Oct*",'Loan Entry'!$M$39:$M$42,'Loans to Cash Flows Wkst'!K$2)</f>
        <v>0</v>
      </c>
      <c r="M28" s="852" t="s">
        <v>13</v>
      </c>
      <c r="N28" s="765">
        <f>SUMIFS('Loan Entry'!$W$15:$W$18,'Loan Entry'!$D$15:$D$18,$C$18,'Loan Entry'!$AB$15:$AB$18,$C28,'Loan Entry'!$M$15:$M$18,'Loans to Cash Flows Wkst'!N$2)+SUMIFS('Loan Entry'!$W$23:$W$26,'Loan Entry'!$D$23:$D$26,$C$18,'Loan Entry'!$AB$23:$AB$26,$C28,'Loan Entry'!$M$23:$M$26,'Loans to Cash Flows Wkst'!N$2)+SUMIFS('Loan Entry'!$W$31:$W$34,'Loan Entry'!$D$31:$D$34,$C$18,'Loan Entry'!$AB$31:$AB$34,$C28,'Loan Entry'!$M$31:$M$34,'Loans to Cash Flows Wkst'!N$2)+SUMIFS('Loan Entry'!$W$47:$W$50,'Loan Entry'!$D$47:$D$50,$C$18,'Loan Entry'!$AB$47:$AB$50,$C28,'Loan Entry'!$M$47:$M$50,'Loans to Cash Flows Wkst'!N$2)+SUMIFS('Loan Entry'!$W$55:$W$58,'Loan Entry'!$D$55:$D$58,$C$18,'Loan Entry'!$AB$55:$AB$58,$C28,'Loan Entry'!$M$55:$M$58,'Loans to Cash Flows Wkst'!N$2)+SUMIFS('Loan Entry'!$W$39:$W$42,'Loan Entry'!$D$39:$D$42,$C$18,'Loan Entry'!$AB$39:$AB$42,$C28,'Loan Entry'!$M$39:$M$42,'Loans to Cash Flows Wkst'!N$2)</f>
        <v>0</v>
      </c>
      <c r="O28" s="765">
        <f>SUMIFS('Loan Entry'!$W$15:$W$18,'Loan Entry'!$D$15:$D$18,$C$18,'Loan Entry'!$AB$15:$AB$18,"*Oct*",'Loan Entry'!$M$15:$M$18,'Loans to Cash Flows Wkst'!O$2)+SUMIFS('Loan Entry'!$W$23:$W$26,'Loan Entry'!$D$23:$D$26,$C$18,'Loan Entry'!$AB$23:$AB$26,"*Oct*",'Loan Entry'!$M$23:$M$26,'Loans to Cash Flows Wkst'!O$2)+SUMIFS('Loan Entry'!$W$31:$W$34,'Loan Entry'!$D$31:$D$34,$C$18,'Loan Entry'!$AB$31:$AB$34,"*Oct*",'Loan Entry'!$M$31:$M$34,'Loans to Cash Flows Wkst'!O$2)+SUMIFS('Loan Entry'!$W$47:$W$50,'Loan Entry'!$D$47:$D$50,$C$18,'Loan Entry'!$AB$47:$AB$50,"*Oct*",'Loan Entry'!$M$47:$M$50,'Loans to Cash Flows Wkst'!O$2)+SUMIFS('Loan Entry'!$W$55:$W$58,'Loan Entry'!$D$55:$D$58,$C$18,'Loan Entry'!$AB$55:$AB$58,"*Oct*",'Loan Entry'!$M$55:$M$58,'Loans to Cash Flows Wkst'!O$2)+SUMIFS('Loan Entry'!$W$39:$W$42,'Loan Entry'!$D$39:$D$42,$C$18,'Loan Entry'!$AB$39:$AB$42,"*Oct*",'Loan Entry'!$M$39:$M$42,'Loans to Cash Flows Wkst'!O$2)</f>
        <v>0</v>
      </c>
      <c r="P28" s="765">
        <f>SUMIFS('Loan Entry'!$W$15:$W$18,'Loan Entry'!$D$15:$D$18,$C$18,'Loan Entry'!$AB$15:$AB$18,"*Oct*",'Loan Entry'!$M$15:$M$18,'Loans to Cash Flows Wkst'!P$2)+SUMIFS('Loan Entry'!$W$23:$W$26,'Loan Entry'!$D$23:$D$26,$C$18,'Loan Entry'!$AB$23:$AB$26,"*Oct*",'Loan Entry'!$M$23:$M$26,'Loans to Cash Flows Wkst'!P$2)+SUMIFS('Loan Entry'!$W$31:$W$34,'Loan Entry'!$D$31:$D$34,$C$18,'Loan Entry'!$AB$31:$AB$34,"*Oct*",'Loan Entry'!$M$31:$M$34,'Loans to Cash Flows Wkst'!P$2)+SUMIFS('Loan Entry'!$W$47:$W$50,'Loan Entry'!$D$47:$D$50,$C$18,'Loan Entry'!$AB$47:$AB$50,"*Oct*",'Loan Entry'!$M$47:$M$50,'Loans to Cash Flows Wkst'!P$2)+SUMIFS('Loan Entry'!$W$55:$W$58,'Loan Entry'!$D$55:$D$58,$C$18,'Loan Entry'!$AB$55:$AB$58,"*Oct*",'Loan Entry'!$M$55:$M$58,'Loans to Cash Flows Wkst'!P$2)+SUMIFS('Loan Entry'!$W$39:$W$42,'Loan Entry'!$D$39:$D$42,$C$18,'Loan Entry'!$AB$39:$AB$42,"*Oct*",'Loan Entry'!$M$39:$M$42,'Loans to Cash Flows Wkst'!P$2)</f>
        <v>0</v>
      </c>
      <c r="Q28" s="765">
        <f>SUMIFS('Loan Entry'!$W$15:$W$18,'Loan Entry'!$D$15:$D$18,$C$18,'Loan Entry'!$AB$15:$AB$18,"*Oct*",'Loan Entry'!$M$15:$M$18,'Loans to Cash Flows Wkst'!Q$2)+SUMIFS('Loan Entry'!$W$23:$W$26,'Loan Entry'!$D$23:$D$26,$C$18,'Loan Entry'!$AB$23:$AB$26,"*Oct*",'Loan Entry'!$M$23:$M$26,'Loans to Cash Flows Wkst'!Q$2)+SUMIFS('Loan Entry'!$W$31:$W$34,'Loan Entry'!$D$31:$D$34,$C$18,'Loan Entry'!$AB$31:$AB$34,"*Oct*",'Loan Entry'!$M$31:$M$34,'Loans to Cash Flows Wkst'!Q$2)+SUMIFS('Loan Entry'!$W$47:$W$50,'Loan Entry'!$D$47:$D$50,$C$18,'Loan Entry'!$AB$47:$AB$50,"*Oct*",'Loan Entry'!$M$47:$M$50,'Loans to Cash Flows Wkst'!Q$2)+SUMIFS('Loan Entry'!$W$55:$W$58,'Loan Entry'!$D$55:$D$58,$C$18,'Loan Entry'!$AB$55:$AB$58,"*Oct*",'Loan Entry'!$M$55:$M$58,'Loans to Cash Flows Wkst'!Q$2)+SUMIFS('Loan Entry'!$W$39:$W$42,'Loan Entry'!$D$39:$D$42,$C$18,'Loan Entry'!$AB$39:$AB$42,"*Oct*",'Loan Entry'!$M$39:$M$42,'Loans to Cash Flows Wkst'!Q$2)</f>
        <v>0</v>
      </c>
    </row>
    <row r="29" spans="2:17" x14ac:dyDescent="0.2">
      <c r="B29" s="855" t="s">
        <v>195</v>
      </c>
      <c r="C29" s="856" t="s">
        <v>14</v>
      </c>
      <c r="D29" s="764">
        <f>SUM('Loans to Cash Flows Wkst'!$H29:$K29)</f>
        <v>0</v>
      </c>
      <c r="E29" s="764">
        <f>SUM('Loans to Cash Flows Wkst'!$N29:$Q29)</f>
        <v>0</v>
      </c>
      <c r="G29" s="855" t="s">
        <v>14</v>
      </c>
      <c r="H29" s="857">
        <f>SUMIFS('Loan Entry'!$V$15:$V$18,'Loan Entry'!$D$15:$D$18,$C$18,'Loan Entry'!$AB$15:$AB$18,$C29,'Loan Entry'!$M$15:$M$18,'Loans to Cash Flows Wkst'!H$2)+SUMIFS('Loan Entry'!$V$23:$V$26,'Loan Entry'!$D$23:$D$26,$C$18,'Loan Entry'!$AB$23:$AB$26,$C29,'Loan Entry'!$M$23:$M$26,'Loans to Cash Flows Wkst'!H$2)+SUMIFS('Loan Entry'!$V$31:$V$34,'Loan Entry'!$D$31:$D$34,$C$18,'Loan Entry'!$AB$31:$AB$34,$C29,'Loan Entry'!$M$31:$M$34,'Loans to Cash Flows Wkst'!H$2)+SUMIFS('Loan Entry'!$V$47:$V$50,'Loan Entry'!$D$47:$D$50,$C$18,'Loan Entry'!$AB$47:$AB$50,$C29,'Loan Entry'!$M$47:$M$50,'Loans to Cash Flows Wkst'!H$2) +SUMIFS('Loan Entry'!$V$55:$V$58,'Loan Entry'!$D$55:$D$58,$C$18,'Loan Entry'!$AB$55:$AB$58,$C29,'Loan Entry'!$M$55:$M$58,'Loans to Cash Flows Wkst'!H$2)+SUMIFS('Loan Entry'!$V$39:$V$42,'Loan Entry'!$D$39:$D$42,$C$18,'Loan Entry'!$AB$39:$AB$42,$C29,'Loan Entry'!$M$39:$M$42,'Loans to Cash Flows Wkst'!H$2)</f>
        <v>0</v>
      </c>
      <c r="I29" s="764">
        <f>SUMIFS('Loan Entry'!$V$15:$V$18,'Loan Entry'!$D$15:$D$18,$C$18,'Loan Entry'!$AB$15:$AB$18,"*Nov*",'Loan Entry'!$M$15:$M$18,'Loans to Cash Flows Wkst'!I$2)+SUMIFS('Loan Entry'!$V$23:$V$26,'Loan Entry'!$D$23:$D$26,$C$18,'Loan Entry'!$AB$23:$AB$26,"*Nov*",'Loan Entry'!$M$23:$M$26,'Loans to Cash Flows Wkst'!I$2)+SUMIFS('Loan Entry'!$V$31:$V$34,'Loan Entry'!$D$31:$D$34,$C$18,'Loan Entry'!$AB$31:$AB$34,"*Nov*",'Loan Entry'!$M$31:$M$34,'Loans to Cash Flows Wkst'!I$2)+SUMIFS('Loan Entry'!$V$47:$V$50,'Loan Entry'!$D$47:$D$50,$C$18,'Loan Entry'!$AB$47:$AB$50,"*Nov*",'Loan Entry'!$M$47:$M$50,'Loans to Cash Flows Wkst'!I$2)+SUMIFS('Loan Entry'!$V$55:$V$58,'Loan Entry'!$D$55:$D$58,$C$18,'Loan Entry'!$AB$55:$AB$58,"*Nov*",'Loan Entry'!$M$55:$M$58,'Loans to Cash Flows Wkst'!I$2)+SUMIFS('Loan Entry'!$V$39:$V$42,'Loan Entry'!$D$39:$D$42,$C$18,'Loan Entry'!$AB$39:$AB$42,"*Nov*",'Loan Entry'!$M$39:$M$42,'Loans to Cash Flows Wkst'!I$2)</f>
        <v>0</v>
      </c>
      <c r="J29" s="764">
        <f>SUMIFS('Loan Entry'!$V$15:$V$18,'Loan Entry'!$D$15:$D$18,$C$18,'Loan Entry'!$AB$15:$AB$18,"*Nov*",'Loan Entry'!$M$15:$M$18,'Loans to Cash Flows Wkst'!J$2)+SUMIFS('Loan Entry'!$V$23:$V$26,'Loan Entry'!$D$23:$D$26,$C$18,'Loan Entry'!$AB$23:$AB$26,"*Nov*",'Loan Entry'!$M$23:$M$26,'Loans to Cash Flows Wkst'!J$2)+SUMIFS('Loan Entry'!$V$31:$V$34,'Loan Entry'!$D$31:$D$34,$C$18,'Loan Entry'!$AB$31:$AB$34,"*Nov*",'Loan Entry'!$M$31:$M$34,'Loans to Cash Flows Wkst'!J$2)+SUMIFS('Loan Entry'!$V$47:$V$50,'Loan Entry'!$D$47:$D$50,$C$18,'Loan Entry'!$AB$47:$AB$50,"*Nov*",'Loan Entry'!$M$47:$M$50,'Loans to Cash Flows Wkst'!J$2) +SUMIFS('Loan Entry'!$V$55:$V$58,'Loan Entry'!$D$55:$D$58,$C$18,'Loan Entry'!$AB$55:$AB$58,"*Nov*",'Loan Entry'!$M$55:$M$58,'Loans to Cash Flows Wkst'!J$2)+SUMIFS('Loan Entry'!$V$39:$V$42,'Loan Entry'!$D$39:$D$42,$C$18,'Loan Entry'!$AB$39:$AB$42,"*Nov*",'Loan Entry'!$M$39:$M$42,'Loans to Cash Flows Wkst'!J$2)</f>
        <v>0</v>
      </c>
      <c r="K29" s="764">
        <f>SUMIFS('Loan Entry'!$V$15:$V$18,'Loan Entry'!$D$15:$D$18,$C$18,'Loan Entry'!$AB$15:$AB$18,"*Nov*",'Loan Entry'!$M$15:$M$18,'Loans to Cash Flows Wkst'!K$2)+SUMIFS('Loan Entry'!$V$23:$V$26,'Loan Entry'!$D$23:$D$26,$C$18,'Loan Entry'!$AB$23:$AB$26,"*Nov*",'Loan Entry'!$M$23:$M$26,'Loans to Cash Flows Wkst'!K$2)+SUMIFS('Loan Entry'!$V$31:$V$34,'Loan Entry'!$D$31:$D$34,$C$18,'Loan Entry'!$AB$31:$AB$34,"*Nov*",'Loan Entry'!$M$31:$M$34,'Loans to Cash Flows Wkst'!K$2)+SUMIFS('Loan Entry'!$V$47:$V$50,'Loan Entry'!$D$47:$D$50,$C$18,'Loan Entry'!$AB$47:$AB$50,"*Nov*",'Loan Entry'!$M$47:$M$50,'Loans to Cash Flows Wkst'!K$2) +SUMIFS('Loan Entry'!$V$55:$V$58,'Loan Entry'!$D$55:$D$58,$C$18,'Loan Entry'!$AB$55:$AB$58,"*Nov*",'Loan Entry'!$M$55:$M$58,'Loans to Cash Flows Wkst'!K$2)+SUMIFS('Loan Entry'!$V$39:$V$42,'Loan Entry'!$D$39:$D$42,$C$18,'Loan Entry'!$AB$39:$AB$42,"*Nov*",'Loan Entry'!$M$39:$M$42,'Loans to Cash Flows Wkst'!K$2)</f>
        <v>0</v>
      </c>
      <c r="M29" s="855" t="s">
        <v>14</v>
      </c>
      <c r="N29" s="764">
        <f>SUMIFS('Loan Entry'!$W$15:$W$18,'Loan Entry'!$D$15:$D$18,$C$18,'Loan Entry'!$AB$15:$AB$18,$C29,'Loan Entry'!$M$15:$M$18,'Loans to Cash Flows Wkst'!N$2)+SUMIFS('Loan Entry'!$W$23:$W$26,'Loan Entry'!$D$23:$D$26,$C$18,'Loan Entry'!$AB$23:$AB$26,$C29,'Loan Entry'!$M$23:$M$26,'Loans to Cash Flows Wkst'!N$2)+SUMIFS('Loan Entry'!$W$31:$W$34,'Loan Entry'!$D$31:$D$34,$C$18,'Loan Entry'!$AB$31:$AB$34,$C29,'Loan Entry'!$M$31:$M$34,'Loans to Cash Flows Wkst'!N$2)+SUMIFS('Loan Entry'!$W$47:$W$50,'Loan Entry'!$D$47:$D$50,$C$18,'Loan Entry'!$AB$47:$AB$50,$C29,'Loan Entry'!$M$47:$M$50,'Loans to Cash Flows Wkst'!N$2)+SUMIFS('Loan Entry'!$W$55:$W$58,'Loan Entry'!$D$55:$D$58,$C$18,'Loan Entry'!$AB$55:$AB$58,$C29,'Loan Entry'!$M$55:$M$58,'Loans to Cash Flows Wkst'!N$2)+SUMIFS('Loan Entry'!$W$39:$W$42,'Loan Entry'!$D$39:$D$42,$C$18,'Loan Entry'!$AB$39:$AB$42,$C29,'Loan Entry'!$M$39:$M$42,'Loans to Cash Flows Wkst'!N$2)</f>
        <v>0</v>
      </c>
      <c r="O29" s="764">
        <f>SUMIFS('Loan Entry'!$W$15:$W$18,'Loan Entry'!$D$15:$D$18,$C$18,'Loan Entry'!$AB$15:$AB$18,"*Nov*",'Loan Entry'!$M$15:$M$18,'Loans to Cash Flows Wkst'!O$2)+SUMIFS('Loan Entry'!$W$23:$W$26,'Loan Entry'!$D$23:$D$26,$C$18,'Loan Entry'!$AB$23:$AB$26,"*Nov*",'Loan Entry'!$M$23:$M$26,'Loans to Cash Flows Wkst'!O$2)+SUMIFS('Loan Entry'!$W$31:$W$34,'Loan Entry'!$D$31:$D$34,$C$18,'Loan Entry'!$AB$31:$AB$34,"*Nov*",'Loan Entry'!$M$31:$M$34,'Loans to Cash Flows Wkst'!O$2)+SUMIFS('Loan Entry'!$W$47:$W$50,'Loan Entry'!$D$47:$D$50,$C$18,'Loan Entry'!$AB$47:$AB$50,"*Nov*",'Loan Entry'!$M$47:$M$50,'Loans to Cash Flows Wkst'!O$2)+SUMIFS('Loan Entry'!$W$55:$W$58,'Loan Entry'!$D$55:$D$58,$C$18,'Loan Entry'!$AB$55:$AB$58,"*Nov*",'Loan Entry'!$M$55:$M$58,'Loans to Cash Flows Wkst'!O$2)+SUMIFS('Loan Entry'!$W$39:$W$42,'Loan Entry'!$D$39:$D$42,$C$18,'Loan Entry'!$AB$39:$AB$42,"*Nov*",'Loan Entry'!$M$39:$M$42,'Loans to Cash Flows Wkst'!O$2)</f>
        <v>0</v>
      </c>
      <c r="P29" s="764">
        <f>SUMIFS('Loan Entry'!$W$15:$W$18,'Loan Entry'!$D$15:$D$18,$C$18,'Loan Entry'!$AB$15:$AB$18,"*Nov*",'Loan Entry'!$M$15:$M$18,'Loans to Cash Flows Wkst'!P$2)+SUMIFS('Loan Entry'!$W$23:$W$26,'Loan Entry'!$D$23:$D$26,$C$18,'Loan Entry'!$AB$23:$AB$26,"*Nov*",'Loan Entry'!$M$23:$M$26,'Loans to Cash Flows Wkst'!P$2)+SUMIFS('Loan Entry'!$W$31:$W$34,'Loan Entry'!$D$31:$D$34,$C$18,'Loan Entry'!$AB$31:$AB$34,"*Nov*",'Loan Entry'!$M$31:$M$34,'Loans to Cash Flows Wkst'!P$2)+SUMIFS('Loan Entry'!$W$47:$W$50,'Loan Entry'!$D$47:$D$50,$C$18,'Loan Entry'!$AB$47:$AB$50,"*Nov*",'Loan Entry'!$M$47:$M$50,'Loans to Cash Flows Wkst'!P$2)+SUMIFS('Loan Entry'!$W$55:$W$58,'Loan Entry'!$D$55:$D$58,$C$18,'Loan Entry'!$AB$55:$AB$58,"*Nov*",'Loan Entry'!$M$55:$M$58,'Loans to Cash Flows Wkst'!P$2)+SUMIFS('Loan Entry'!$W$39:$W$42,'Loan Entry'!$D$39:$D$42,$C$18,'Loan Entry'!$AB$39:$AB$42,"*Nov*",'Loan Entry'!$M$39:$M$42,'Loans to Cash Flows Wkst'!P$2)</f>
        <v>0</v>
      </c>
      <c r="Q29" s="764">
        <f>SUMIFS('Loan Entry'!$W$15:$W$18,'Loan Entry'!$D$15:$D$18,$C$18,'Loan Entry'!$AB$15:$AB$18,"*Nov*",'Loan Entry'!$M$15:$M$18,'Loans to Cash Flows Wkst'!Q$2)+SUMIFS('Loan Entry'!$W$23:$W$26,'Loan Entry'!$D$23:$D$26,$C$18,'Loan Entry'!$AB$23:$AB$26,"*Nov*",'Loan Entry'!$M$23:$M$26,'Loans to Cash Flows Wkst'!Q$2)+SUMIFS('Loan Entry'!$W$31:$W$34,'Loan Entry'!$D$31:$D$34,$C$18,'Loan Entry'!$AB$31:$AB$34,"*Nov*",'Loan Entry'!$M$31:$M$34,'Loans to Cash Flows Wkst'!Q$2)+SUMIFS('Loan Entry'!$W$47:$W$50,'Loan Entry'!$D$47:$D$50,$C$18,'Loan Entry'!$AB$47:$AB$50,"*Nov*",'Loan Entry'!$M$47:$M$50,'Loans to Cash Flows Wkst'!Q$2)+SUMIFS('Loan Entry'!$W$55:$W$58,'Loan Entry'!$D$55:$D$58,$C$18,'Loan Entry'!$AB$55:$AB$58,"*Nov*",'Loan Entry'!$M$55:$M$58,'Loans to Cash Flows Wkst'!Q$2)+SUMIFS('Loan Entry'!$W$39:$W$42,'Loan Entry'!$D$39:$D$42,$C$18,'Loan Entry'!$AB$39:$AB$42,"*Nov*",'Loan Entry'!$M$39:$M$42,'Loans to Cash Flows Wkst'!Q$2)</f>
        <v>0</v>
      </c>
    </row>
    <row r="30" spans="2:17" ht="13.5" thickBot="1" x14ac:dyDescent="0.25">
      <c r="B30" s="852" t="s">
        <v>196</v>
      </c>
      <c r="C30" s="858" t="s">
        <v>15</v>
      </c>
      <c r="D30" s="765">
        <f>SUM('Loans to Cash Flows Wkst'!$H30:$K30)</f>
        <v>0</v>
      </c>
      <c r="E30" s="765">
        <f>SUM('Loans to Cash Flows Wkst'!$N30:$Q30)</f>
        <v>0</v>
      </c>
      <c r="G30" s="852" t="s">
        <v>15</v>
      </c>
      <c r="H30" s="854">
        <f>SUMIFS('Loan Entry'!$V$15:$V$18,'Loan Entry'!$D$15:$D$18,$C$18,'Loan Entry'!$AB$15:$AB$18,$C30,'Loan Entry'!$M$15:$M$18,'Loans to Cash Flows Wkst'!H$2)+SUMIFS('Loan Entry'!$V$23:$V$26,'Loan Entry'!$D$23:$D$26,$C$18,'Loan Entry'!$AB$23:$AB$26,$C30,'Loan Entry'!$M$23:$M$26,'Loans to Cash Flows Wkst'!H$2)+SUMIFS('Loan Entry'!$V$31:$V$34,'Loan Entry'!$D$31:$D$34,$C$18,'Loan Entry'!$AB$31:$AB$34,$C30,'Loan Entry'!$M$31:$M$34,'Loans to Cash Flows Wkst'!H$2)+SUMIFS('Loan Entry'!$V$47:$V$50,'Loan Entry'!$D$47:$D$50,$C$18,'Loan Entry'!$AB$47:$AB$50,$C30,'Loan Entry'!$M$47:$M$50,'Loans to Cash Flows Wkst'!H$2) +SUMIFS('Loan Entry'!$V$55:$V$58,'Loan Entry'!$D$55:$D$58,$C$18,'Loan Entry'!$AB$55:$AB$58,$C30,'Loan Entry'!$M$55:$M$58,'Loans to Cash Flows Wkst'!H$2)+SUMIFS('Loan Entry'!$V$39:$V$42,'Loan Entry'!$D$39:$D$42,$C$18,'Loan Entry'!$AB$39:$AB$42,$C30,'Loan Entry'!$M$39:$M$42,'Loans to Cash Flows Wkst'!H$2)</f>
        <v>0</v>
      </c>
      <c r="I30" s="765">
        <f>SUMIFS('Loan Entry'!$V$15:$V$18,'Loan Entry'!$D$15:$D$18,$C$18,'Loan Entry'!$AB$15:$AB$18,"*Dec*",'Loan Entry'!$M$15:$M$18,'Loans to Cash Flows Wkst'!I$2)+SUMIFS('Loan Entry'!$V$23:$V$26,'Loan Entry'!$D$23:$D$26,$C$18,'Loan Entry'!$AB$23:$AB$26,"*Dec*",'Loan Entry'!$M$23:$M$26,'Loans to Cash Flows Wkst'!I$2)+SUMIFS('Loan Entry'!$V$31:$V$34,'Loan Entry'!$D$31:$D$34,$C$18,'Loan Entry'!$AB$31:$AB$34,"*Dec*",'Loan Entry'!$M$31:$M$34,'Loans to Cash Flows Wkst'!I$2)+SUMIFS('Loan Entry'!$V$47:$V$50,'Loan Entry'!$D$47:$D$50,$C$18,'Loan Entry'!$AB$47:$AB$50,"*Dec*",'Loan Entry'!$M$47:$M$50,'Loans to Cash Flows Wkst'!I$2)+SUMIFS('Loan Entry'!$V$55:$V$58,'Loan Entry'!$D$55:$D$58,$C$18,'Loan Entry'!$AB$55:$AB$58,"*Dec*",'Loan Entry'!$M$55:$M$58,'Loans to Cash Flows Wkst'!I$2)+SUMIFS('Loan Entry'!$V$39:$V$42,'Loan Entry'!$D$39:$D$42,$C$18,'Loan Entry'!$AB$39:$AB$42,"*Dec*",'Loan Entry'!$M$39:$M$42,'Loans to Cash Flows Wkst'!I$2)</f>
        <v>0</v>
      </c>
      <c r="J30" s="765">
        <f>SUMIFS('Loan Entry'!$V$15:$V$18,'Loan Entry'!$D$15:$D$18,$C$18,'Loan Entry'!$AB$15:$AB$18,"*Dec*",'Loan Entry'!$M$15:$M$18,'Loans to Cash Flows Wkst'!J$2)+SUMIFS('Loan Entry'!$V$23:$V$26,'Loan Entry'!$D$23:$D$26,$C$18,'Loan Entry'!$AB$23:$AB$26,"*Dec*",'Loan Entry'!$M$23:$M$26,'Loans to Cash Flows Wkst'!J$2)+SUMIFS('Loan Entry'!$V$31:$V$34,'Loan Entry'!$D$31:$D$34,$C$18,'Loan Entry'!$AB$31:$AB$34,"*Dec*",'Loan Entry'!$M$31:$M$34,'Loans to Cash Flows Wkst'!J$2)+SUMIFS('Loan Entry'!$V$47:$V$50,'Loan Entry'!$D$47:$D$50,$C$18,'Loan Entry'!$AB$47:$AB$50,"*Dec*",'Loan Entry'!$M$47:$M$50,'Loans to Cash Flows Wkst'!J$2) +SUMIFS('Loan Entry'!$V$55:$V$58,'Loan Entry'!$D$55:$D$58,$C$18,'Loan Entry'!$AB$55:$AB$58,"*Dec*",'Loan Entry'!$M$55:$M$58,'Loans to Cash Flows Wkst'!J$2)+SUMIFS('Loan Entry'!$V$39:$V$42,'Loan Entry'!$D$39:$D$42,$C$18,'Loan Entry'!$AB$39:$AB$42,"*Dec*",'Loan Entry'!$M$39:$M$42,'Loans to Cash Flows Wkst'!J$2)</f>
        <v>0</v>
      </c>
      <c r="K30" s="765">
        <f>SUMIFS('Loan Entry'!$V$15:$V$18,'Loan Entry'!$D$15:$D$18,$C$18,'Loan Entry'!$AB$15:$AB$18,"*Dec*",'Loan Entry'!$M$15:$M$18,'Loans to Cash Flows Wkst'!K$2)+SUMIFS('Loan Entry'!$V$23:$V$26,'Loan Entry'!$D$23:$D$26,$C$18,'Loan Entry'!$AB$23:$AB$26,"*Dec*",'Loan Entry'!$M$23:$M$26,'Loans to Cash Flows Wkst'!K$2)+SUMIFS('Loan Entry'!$V$31:$V$34,'Loan Entry'!$D$31:$D$34,$C$18,'Loan Entry'!$AB$31:$AB$34,"*Dec*",'Loan Entry'!$M$31:$M$34,'Loans to Cash Flows Wkst'!K$2)+SUMIFS('Loan Entry'!$V$47:$V$50,'Loan Entry'!$D$47:$D$50,$C$18,'Loan Entry'!$AB$47:$AB$50,"*Dec*",'Loan Entry'!$M$47:$M$50,'Loans to Cash Flows Wkst'!K$2) +SUMIFS('Loan Entry'!$V$55:$V$58,'Loan Entry'!$D$55:$D$58,$C$18,'Loan Entry'!$AB$55:$AB$58,"*Dec*",'Loan Entry'!$M$55:$M$58,'Loans to Cash Flows Wkst'!K$2)+SUMIFS('Loan Entry'!$V$39:$V$42,'Loan Entry'!$D$39:$D$42,$C$18,'Loan Entry'!$AB$39:$AB$42,"*Dec*",'Loan Entry'!$M$39:$M$42,'Loans to Cash Flows Wkst'!K$2)</f>
        <v>0</v>
      </c>
      <c r="M30" s="852" t="s">
        <v>15</v>
      </c>
      <c r="N30" s="765">
        <f>SUMIFS('Loan Entry'!$W$15:$W$18,'Loan Entry'!$D$15:$D$18,$C$18,'Loan Entry'!$AB$15:$AB$18,$C30,'Loan Entry'!$M$15:$M$18,'Loans to Cash Flows Wkst'!N$2)+SUMIFS('Loan Entry'!$W$23:$W$26,'Loan Entry'!$D$23:$D$26,$C$18,'Loan Entry'!$AB$23:$AB$26,$C30,'Loan Entry'!$M$23:$M$26,'Loans to Cash Flows Wkst'!N$2)+SUMIFS('Loan Entry'!$W$31:$W$34,'Loan Entry'!$D$31:$D$34,$C$18,'Loan Entry'!$AB$31:$AB$34,$C30,'Loan Entry'!$M$31:$M$34,'Loans to Cash Flows Wkst'!N$2)+SUMIFS('Loan Entry'!$W$47:$W$50,'Loan Entry'!$D$47:$D$50,$C$18,'Loan Entry'!$AB$47:$AB$50,$C30,'Loan Entry'!$M$47:$M$50,'Loans to Cash Flows Wkst'!N$2)+SUMIFS('Loan Entry'!$W$55:$W$58,'Loan Entry'!$D$55:$D$58,$C$18,'Loan Entry'!$AB$55:$AB$58,$C30,'Loan Entry'!$M$55:$M$58,'Loans to Cash Flows Wkst'!N$2)+SUMIFS('Loan Entry'!$W$39:$W$42,'Loan Entry'!$D$39:$D$42,$C$18,'Loan Entry'!$AB$39:$AB$42,$C30,'Loan Entry'!$M$39:$M$42,'Loans to Cash Flows Wkst'!N$2)</f>
        <v>0</v>
      </c>
      <c r="O30" s="765">
        <f>SUMIFS('Loan Entry'!$W$15:$W$18,'Loan Entry'!$D$15:$D$18,$C$18,'Loan Entry'!$AB$15:$AB$18,"*Dec*",'Loan Entry'!$M$15:$M$18,'Loans to Cash Flows Wkst'!O$2)+SUMIFS('Loan Entry'!$W$23:$W$26,'Loan Entry'!$D$23:$D$26,$C$18,'Loan Entry'!$AB$23:$AB$26,"*Dec*",'Loan Entry'!$M$23:$M$26,'Loans to Cash Flows Wkst'!O$2)+SUMIFS('Loan Entry'!$W$31:$W$34,'Loan Entry'!$D$31:$D$34,$C$18,'Loan Entry'!$AB$31:$AB$34,"*Dec*",'Loan Entry'!$M$31:$M$34,'Loans to Cash Flows Wkst'!O$2)+SUMIFS('Loan Entry'!$W$47:$W$50,'Loan Entry'!$D$47:$D$50,$C$18,'Loan Entry'!$AB$47:$AB$50,"*Dec*",'Loan Entry'!$M$47:$M$50,'Loans to Cash Flows Wkst'!O$2)+SUMIFS('Loan Entry'!$W$55:$W$58,'Loan Entry'!$D$55:$D$58,$C$18,'Loan Entry'!$AB$55:$AB$58,"*Dec*",'Loan Entry'!$M$55:$M$58,'Loans to Cash Flows Wkst'!O$2)+SUMIFS('Loan Entry'!$W$39:$W$42,'Loan Entry'!$D$39:$D$42,$C$18,'Loan Entry'!$AB$39:$AB$42,"*Dec*",'Loan Entry'!$M$39:$M$42,'Loans to Cash Flows Wkst'!O$2)</f>
        <v>0</v>
      </c>
      <c r="P30" s="765">
        <f>SUMIFS('Loan Entry'!$W$15:$W$18,'Loan Entry'!$D$15:$D$18,$C$18,'Loan Entry'!$AB$15:$AB$18,"*Dec*",'Loan Entry'!$M$15:$M$18,'Loans to Cash Flows Wkst'!P$2)+SUMIFS('Loan Entry'!$W$23:$W$26,'Loan Entry'!$D$23:$D$26,$C$18,'Loan Entry'!$AB$23:$AB$26,"*Dec*",'Loan Entry'!$M$23:$M$26,'Loans to Cash Flows Wkst'!P$2)+SUMIFS('Loan Entry'!$W$31:$W$34,'Loan Entry'!$D$31:$D$34,$C$18,'Loan Entry'!$AB$31:$AB$34,"*Dec*",'Loan Entry'!$M$31:$M$34,'Loans to Cash Flows Wkst'!P$2)+SUMIFS('Loan Entry'!$W$47:$W$50,'Loan Entry'!$D$47:$D$50,$C$18,'Loan Entry'!$AB$47:$AB$50,"*Dec*",'Loan Entry'!$M$47:$M$50,'Loans to Cash Flows Wkst'!P$2)+SUMIFS('Loan Entry'!$W$55:$W$58,'Loan Entry'!$D$55:$D$58,$C$18,'Loan Entry'!$AB$55:$AB$58,"*Dec*",'Loan Entry'!$M$55:$M$58,'Loans to Cash Flows Wkst'!P$2)+SUMIFS('Loan Entry'!$W$39:$W$42,'Loan Entry'!$D$39:$D$42,$C$18,'Loan Entry'!$AB$39:$AB$42,"*Dec*",'Loan Entry'!$M$39:$M$42,'Loans to Cash Flows Wkst'!P$2)</f>
        <v>0</v>
      </c>
      <c r="Q30" s="765">
        <f>SUMIFS('Loan Entry'!$W$15:$W$18,'Loan Entry'!$D$15:$D$18,$C$18,'Loan Entry'!$AB$15:$AB$18,"*Dec*",'Loan Entry'!$M$15:$M$18,'Loans to Cash Flows Wkst'!Q$2)+SUMIFS('Loan Entry'!$W$23:$W$26,'Loan Entry'!$D$23:$D$26,$C$18,'Loan Entry'!$AB$23:$AB$26,"*Dec*",'Loan Entry'!$M$23:$M$26,'Loans to Cash Flows Wkst'!Q$2)+SUMIFS('Loan Entry'!$W$31:$W$34,'Loan Entry'!$D$31:$D$34,$C$18,'Loan Entry'!$AB$31:$AB$34,"*Dec*",'Loan Entry'!$M$31:$M$34,'Loans to Cash Flows Wkst'!Q$2)+SUMIFS('Loan Entry'!$W$47:$W$50,'Loan Entry'!$D$47:$D$50,$C$18,'Loan Entry'!$AB$47:$AB$50,"*Dec*",'Loan Entry'!$M$47:$M$50,'Loans to Cash Flows Wkst'!Q$2)+SUMIFS('Loan Entry'!$W$55:$W$58,'Loan Entry'!$D$55:$D$58,$C$18,'Loan Entry'!$AB$55:$AB$58,"*Dec*",'Loan Entry'!$M$55:$M$58,'Loans to Cash Flows Wkst'!Q$2)+SUMIFS('Loan Entry'!$W$39:$W$42,'Loan Entry'!$D$39:$D$42,$C$18,'Loan Entry'!$AB$39:$AB$42,"*Dec*",'Loan Entry'!$M$39:$M$42,'Loans to Cash Flows Wkst'!Q$2)</f>
        <v>0</v>
      </c>
    </row>
    <row r="31" spans="2:17" ht="13.5" thickTop="1" x14ac:dyDescent="0.2">
      <c r="B31" s="859"/>
      <c r="C31" s="860"/>
      <c r="D31" s="861">
        <f>SUM('Loans to Cash Flows Wkst'!$D$19:$D$30)</f>
        <v>0</v>
      </c>
      <c r="E31" s="847">
        <f>SUM('Loans to Cash Flows Wkst'!$E$19:$E$30)</f>
        <v>0</v>
      </c>
      <c r="G31" s="864"/>
      <c r="H31" s="847">
        <f>SUM('Loans to Cash Flows Wkst'!$H$19:$H$30)</f>
        <v>0</v>
      </c>
      <c r="I31" s="847">
        <f>SUM('Loans to Cash Flows Wkst'!$I$19:$I$30)</f>
        <v>0</v>
      </c>
      <c r="J31" s="847">
        <f>SUM('Loans to Cash Flows Wkst'!$J$19:$J$30)</f>
        <v>0</v>
      </c>
      <c r="K31" s="847">
        <f>SUM('Loans to Cash Flows Wkst'!$K$19:$K$30)</f>
        <v>0</v>
      </c>
      <c r="M31" s="864"/>
      <c r="N31" s="847">
        <f>SUM('Loans to Cash Flows Wkst'!$N$19:$N$30)</f>
        <v>0</v>
      </c>
      <c r="O31" s="847">
        <f>SUM('Loans to Cash Flows Wkst'!$O$19:$O$30)</f>
        <v>0</v>
      </c>
      <c r="P31" s="847">
        <f>SUM('Loans to Cash Flows Wkst'!$P$19:$P$30)</f>
        <v>0</v>
      </c>
      <c r="Q31" s="847">
        <f>SUM('Loans to Cash Flows Wkst'!$Q$19:$Q$30)</f>
        <v>0</v>
      </c>
    </row>
    <row r="34" spans="2:17" ht="13.5" thickBot="1" x14ac:dyDescent="0.25">
      <c r="B34" s="438" t="s">
        <v>126</v>
      </c>
      <c r="C34" s="439" t="s">
        <v>178</v>
      </c>
      <c r="D34" s="439" t="s">
        <v>179</v>
      </c>
      <c r="E34" s="57"/>
      <c r="G34" s="438" t="s">
        <v>200</v>
      </c>
      <c r="H34" s="439" t="s">
        <v>105</v>
      </c>
      <c r="I34" s="439" t="s">
        <v>103</v>
      </c>
      <c r="J34" s="439" t="s">
        <v>101</v>
      </c>
      <c r="K34" s="439" t="s">
        <v>100</v>
      </c>
      <c r="M34" s="438" t="s">
        <v>200</v>
      </c>
      <c r="N34" s="768" t="s">
        <v>105</v>
      </c>
      <c r="O34" s="768" t="s">
        <v>103</v>
      </c>
      <c r="P34" s="768" t="s">
        <v>101</v>
      </c>
      <c r="Q34" s="768" t="s">
        <v>100</v>
      </c>
    </row>
    <row r="35" spans="2:17" ht="13.5" thickTop="1" x14ac:dyDescent="0.2">
      <c r="B35" s="849" t="s">
        <v>186</v>
      </c>
      <c r="C35" s="865" t="s">
        <v>5</v>
      </c>
      <c r="D35" s="771">
        <f>SUM('Loans to Cash Flows Wkst'!$H35:$K35,'Loans to Cash Flows Wkst'!$N35:$Q35)</f>
        <v>0</v>
      </c>
      <c r="G35" s="862" t="s">
        <v>5</v>
      </c>
      <c r="H35" s="771">
        <f>SUMIFS('Loan Entry'!$V$63:$V$66,'Loan Entry'!$D$63:$D$66,$C$34,'Loan Entry'!$AB$63:$AB$66,$C35,'Loan Entry'!$M$63:$M$66,'Loans to Cash Flows Wkst'!H$2)</f>
        <v>0</v>
      </c>
      <c r="I35" s="771">
        <f>SUMIFS('Loan Entry'!$V$63:$V$66,'Loan Entry'!$D$63:$D$66,$C$34,'Loan Entry'!$AB$63:$AB$66,"*Jan*",'Loan Entry'!$M$63:$M$66,'Loans to Cash Flows Wkst'!I$2)</f>
        <v>0</v>
      </c>
      <c r="J35" s="771">
        <f>SUMIFS('Loan Entry'!$V$63:$V$66,'Loan Entry'!$D$63:$D$66,$C$34,'Loan Entry'!$AB$63:$AB$66,"*Jan*",'Loan Entry'!$M$63:$M$66,'Loans to Cash Flows Wkst'!J$2)</f>
        <v>0</v>
      </c>
      <c r="K35" s="771">
        <f>SUMIFS('Loan Entry'!$V$63:$V$66,'Loan Entry'!$D$63:$D$66,$C$34,'Loan Entry'!$AB$63:$AB$66,"*Jan*",'Loan Entry'!$M$63:$M$66,'Loans to Cash Flows Wkst'!K$2)</f>
        <v>0</v>
      </c>
      <c r="M35" s="862" t="s">
        <v>5</v>
      </c>
      <c r="N35" s="771">
        <f>SUMIFS('Loan Entry'!$W$63:$W$66,'Loan Entry'!$D$63:$D$66,$C$34,'Loan Entry'!$AB$63:$AB$66,$C35,'Loan Entry'!$M$63:$M$66,'Loans to Cash Flows Wkst'!N$2)</f>
        <v>0</v>
      </c>
      <c r="O35" s="771">
        <f>SUMIFS('Loan Entry'!$W$63:$W$66,'Loan Entry'!$D$63:$D$66,$C$34,'Loan Entry'!$AB$63:$AB$66,"*Jan*",'Loan Entry'!$M$63:$M$66,'Loans to Cash Flows Wkst'!O$2)</f>
        <v>0</v>
      </c>
      <c r="P35" s="771">
        <f>SUMIFS('Loan Entry'!$W$63:$W$66,'Loan Entry'!$D$63:$D$66,$C$34,'Loan Entry'!$AB$63:$AB$66,"*Jan*",'Loan Entry'!$M$63:$M$66,'Loans to Cash Flows Wkst'!P$2)</f>
        <v>0</v>
      </c>
      <c r="Q35" s="771">
        <f>SUMIFS('Loan Entry'!$W$63:$W$66,'Loan Entry'!$D$63:$D$66,$C$34,'Loan Entry'!$AB$63:$AB$66,"*Jan*",'Loan Entry'!$M$63:$M$66,'Loans to Cash Flows Wkst'!Q$2)</f>
        <v>0</v>
      </c>
    </row>
    <row r="36" spans="2:17" x14ac:dyDescent="0.2">
      <c r="B36" s="852" t="s">
        <v>187</v>
      </c>
      <c r="C36" s="866" t="s">
        <v>6</v>
      </c>
      <c r="D36" s="765">
        <f>SUM('Loans to Cash Flows Wkst'!$H36:$K36,'Loans to Cash Flows Wkst'!$N36:$Q36)</f>
        <v>0</v>
      </c>
      <c r="G36" s="863" t="s">
        <v>6</v>
      </c>
      <c r="H36" s="765">
        <f>SUMIFS('Loan Entry'!$V$63:$V$66,'Loan Entry'!$D$63:$D$66,$C$34,'Loan Entry'!$AB$63:$AB$66,$C36,'Loan Entry'!$M$63:$M$66,'Loans to Cash Flows Wkst'!H$2)</f>
        <v>0</v>
      </c>
      <c r="I36" s="765">
        <f>SUMIFS('Loan Entry'!$V$63:$V$66,'Loan Entry'!$D$63:$D$66,$C$34,'Loan Entry'!$AB$63:$AB$66,"*Feb*",'Loan Entry'!$M$63:$M$66,'Loans to Cash Flows Wkst'!I$2)</f>
        <v>0</v>
      </c>
      <c r="J36" s="765">
        <f>SUMIFS('Loan Entry'!$V$63:$V$66,'Loan Entry'!$D$63:$D$66,$C$34,'Loan Entry'!$AB$63:$AB$66,"*Feb*",'Loan Entry'!$M$63:$M$66,'Loans to Cash Flows Wkst'!J$2)</f>
        <v>0</v>
      </c>
      <c r="K36" s="765">
        <f>SUMIFS('Loan Entry'!$V$63:$V$66,'Loan Entry'!$D$63:$D$66,$C$34,'Loan Entry'!$AB$63:$AB$66,"*Feb*",'Loan Entry'!$M$63:$M$66,'Loans to Cash Flows Wkst'!K$2)</f>
        <v>0</v>
      </c>
      <c r="M36" s="863" t="s">
        <v>6</v>
      </c>
      <c r="N36" s="765">
        <f>SUMIFS('Loan Entry'!$W$63:$W$66,'Loan Entry'!$D$63:$D$66,$C$34,'Loan Entry'!$AB$63:$AB$66,$C36,'Loan Entry'!$M$63:$M$66,'Loans to Cash Flows Wkst'!N$2)</f>
        <v>0</v>
      </c>
      <c r="O36" s="765">
        <f>SUMIFS('Loan Entry'!$W$63:$W$66,'Loan Entry'!$D$63:$D$66,$C$34,'Loan Entry'!$AB$63:$AB$66,"*Feb*",'Loan Entry'!$M$63:$M$66,'Loans to Cash Flows Wkst'!O$2)</f>
        <v>0</v>
      </c>
      <c r="P36" s="765">
        <f>SUMIFS('Loan Entry'!$W$63:$W$66,'Loan Entry'!$D$63:$D$66,$C$34,'Loan Entry'!$AB$63:$AB$66,"*Feb*",'Loan Entry'!$M$63:$M$66,'Loans to Cash Flows Wkst'!P$2)</f>
        <v>0</v>
      </c>
      <c r="Q36" s="765">
        <f>SUMIFS('Loan Entry'!$W$63:$W$66,'Loan Entry'!$D$63:$D$66,$C$34,'Loan Entry'!$AB$63:$AB$66,"*Feb*",'Loan Entry'!$M$63:$M$66,'Loans to Cash Flows Wkst'!Q$2)</f>
        <v>0</v>
      </c>
    </row>
    <row r="37" spans="2:17" x14ac:dyDescent="0.2">
      <c r="B37" s="855" t="s">
        <v>188</v>
      </c>
      <c r="C37" s="867" t="s">
        <v>7</v>
      </c>
      <c r="D37" s="764">
        <f>SUM('Loans to Cash Flows Wkst'!$H37:$K37,'Loans to Cash Flows Wkst'!$N37:$Q37)</f>
        <v>0</v>
      </c>
      <c r="G37" s="855" t="s">
        <v>7</v>
      </c>
      <c r="H37" s="764">
        <f>SUMIFS('Loan Entry'!$V$63:$V$66,'Loan Entry'!$D$63:$D$66,$C$34,'Loan Entry'!$AB$63:$AB$66,$C37,'Loan Entry'!$M$63:$M$66,'Loans to Cash Flows Wkst'!H$2)</f>
        <v>0</v>
      </c>
      <c r="I37" s="764">
        <f>SUMIFS('Loan Entry'!$V$63:$V$66,'Loan Entry'!$D$63:$D$66,$C$34,'Loan Entry'!$AB$63:$AB$66,"*Mar*",'Loan Entry'!$M$63:$M$66,'Loans to Cash Flows Wkst'!I$2)</f>
        <v>0</v>
      </c>
      <c r="J37" s="764">
        <f>SUMIFS('Loan Entry'!$V$63:$V$66,'Loan Entry'!$D$63:$D$66,$C$34,'Loan Entry'!$AB$63:$AB$66,"*Mar*",'Loan Entry'!$M$63:$M$66,'Loans to Cash Flows Wkst'!J$2)</f>
        <v>0</v>
      </c>
      <c r="K37" s="764">
        <f>SUMIFS('Loan Entry'!$V$63:$V$66,'Loan Entry'!$D$63:$D$66,$C$34,'Loan Entry'!$AB$63:$AB$66,"*Mar*",'Loan Entry'!$M$63:$M$66,'Loans to Cash Flows Wkst'!K$2)</f>
        <v>0</v>
      </c>
      <c r="M37" s="855" t="s">
        <v>7</v>
      </c>
      <c r="N37" s="764">
        <f>SUMIFS('Loan Entry'!$W$63:$W$66,'Loan Entry'!$D$63:$D$66,$C$34,'Loan Entry'!$AB$63:$AB$66,$C37,'Loan Entry'!$M$63:$M$66,'Loans to Cash Flows Wkst'!N$2)</f>
        <v>0</v>
      </c>
      <c r="O37" s="764">
        <f>SUMIFS('Loan Entry'!$W$63:$W$66,'Loan Entry'!$D$63:$D$66,$C$34,'Loan Entry'!$AB$63:$AB$66,"*Mar*",'Loan Entry'!$M$63:$M$66,'Loans to Cash Flows Wkst'!O$2)</f>
        <v>0</v>
      </c>
      <c r="P37" s="764">
        <f>SUMIFS('Loan Entry'!$W$63:$W$66,'Loan Entry'!$D$63:$D$66,$C$34,'Loan Entry'!$AB$63:$AB$66,"*Mar*",'Loan Entry'!$M$63:$M$66,'Loans to Cash Flows Wkst'!P$2)</f>
        <v>0</v>
      </c>
      <c r="Q37" s="764">
        <f>SUMIFS('Loan Entry'!$W$63:$W$66,'Loan Entry'!$D$63:$D$66,$C$34,'Loan Entry'!$AB$63:$AB$66,"*Mar*",'Loan Entry'!$M$63:$M$66,'Loans to Cash Flows Wkst'!Q$2)</f>
        <v>0</v>
      </c>
    </row>
    <row r="38" spans="2:17" x14ac:dyDescent="0.2">
      <c r="B38" s="852" t="s">
        <v>189</v>
      </c>
      <c r="C38" s="868" t="s">
        <v>8</v>
      </c>
      <c r="D38" s="765">
        <f>SUM('Loans to Cash Flows Wkst'!$H38:$K38,'Loans to Cash Flows Wkst'!$N38:$Q38)</f>
        <v>0</v>
      </c>
      <c r="G38" s="852" t="s">
        <v>8</v>
      </c>
      <c r="H38" s="765">
        <f>SUMIFS('Loan Entry'!$V$63:$V$66,'Loan Entry'!$D$63:$D$66,$C$34,'Loan Entry'!$AB$63:$AB$66,$C38,'Loan Entry'!$M$63:$M$66,'Loans to Cash Flows Wkst'!H$2)</f>
        <v>0</v>
      </c>
      <c r="I38" s="765">
        <f>SUMIFS('Loan Entry'!$V$63:$V$66,'Loan Entry'!$D$63:$D$66,$C$34,'Loan Entry'!$AB$63:$AB$66,"*Apr*",'Loan Entry'!$M$63:$M$66,'Loans to Cash Flows Wkst'!I$2)</f>
        <v>0</v>
      </c>
      <c r="J38" s="765">
        <f>SUMIFS('Loan Entry'!$V$63:$V$66,'Loan Entry'!$D$63:$D$66,$C$34,'Loan Entry'!$AB$63:$AB$66,"*Apr*",'Loan Entry'!$M$63:$M$66,'Loans to Cash Flows Wkst'!J$2)</f>
        <v>0</v>
      </c>
      <c r="K38" s="765">
        <f>SUMIFS('Loan Entry'!$V$63:$V$66,'Loan Entry'!$D$63:$D$66,$C$34,'Loan Entry'!$AB$63:$AB$66,"*Apr*",'Loan Entry'!$M$63:$M$66,'Loans to Cash Flows Wkst'!K$2)</f>
        <v>0</v>
      </c>
      <c r="M38" s="852" t="s">
        <v>8</v>
      </c>
      <c r="N38" s="765">
        <f>SUMIFS('Loan Entry'!$W$63:$W$66,'Loan Entry'!$D$63:$D$66,$C$34,'Loan Entry'!$AB$63:$AB$66,$C38,'Loan Entry'!$M$63:$M$66,'Loans to Cash Flows Wkst'!N$2)</f>
        <v>0</v>
      </c>
      <c r="O38" s="765">
        <f>SUMIFS('Loan Entry'!$W$63:$W$66,'Loan Entry'!$D$63:$D$66,$C$34,'Loan Entry'!$AB$63:$AB$66,"*Apr*",'Loan Entry'!$M$63:$M$66,'Loans to Cash Flows Wkst'!O$2)</f>
        <v>0</v>
      </c>
      <c r="P38" s="765">
        <f>SUMIFS('Loan Entry'!$W$63:$W$66,'Loan Entry'!$D$63:$D$66,$C$34,'Loan Entry'!$AB$63:$AB$66,"*Apr*",'Loan Entry'!$M$63:$M$66,'Loans to Cash Flows Wkst'!P$2)</f>
        <v>0</v>
      </c>
      <c r="Q38" s="765">
        <f>SUMIFS('Loan Entry'!$W$63:$W$66,'Loan Entry'!$D$63:$D$66,$C$34,'Loan Entry'!$AB$63:$AB$66,"*Apr*",'Loan Entry'!$M$63:$M$66,'Loans to Cash Flows Wkst'!Q$2)</f>
        <v>0</v>
      </c>
    </row>
    <row r="39" spans="2:17" x14ac:dyDescent="0.2">
      <c r="B39" s="855" t="s">
        <v>4</v>
      </c>
      <c r="C39" s="867" t="s">
        <v>4</v>
      </c>
      <c r="D39" s="764">
        <f>SUM('Loans to Cash Flows Wkst'!$H39:$K39,'Loans to Cash Flows Wkst'!$N39:$Q39)</f>
        <v>0</v>
      </c>
      <c r="G39" s="855" t="s">
        <v>4</v>
      </c>
      <c r="H39" s="764">
        <f>SUMIFS('Loan Entry'!$V$63:$V$66,'Loan Entry'!$D$63:$D$66,$C$34,'Loan Entry'!$AB$63:$AB$66,$C39,'Loan Entry'!$M$63:$M$66,'Loans to Cash Flows Wkst'!H$2)</f>
        <v>0</v>
      </c>
      <c r="I39" s="764">
        <f>SUMIFS('Loan Entry'!$V$63:$V$66,'Loan Entry'!$D$63:$D$66,$C$34,'Loan Entry'!$AB$63:$AB$66,"*May*",'Loan Entry'!$M$63:$M$66,'Loans to Cash Flows Wkst'!I$2)</f>
        <v>0</v>
      </c>
      <c r="J39" s="764">
        <f>SUMIFS('Loan Entry'!$V$63:$V$66,'Loan Entry'!$D$63:$D$66,$C$34,'Loan Entry'!$AB$63:$AB$66,"*May*",'Loan Entry'!$M$63:$M$66,'Loans to Cash Flows Wkst'!J$2)</f>
        <v>0</v>
      </c>
      <c r="K39" s="764">
        <f>SUMIFS('Loan Entry'!$V$63:$V$66,'Loan Entry'!$D$63:$D$66,$C$34,'Loan Entry'!$AB$63:$AB$66,"*May*",'Loan Entry'!$M$63:$M$66,'Loans to Cash Flows Wkst'!K$2)</f>
        <v>0</v>
      </c>
      <c r="M39" s="855" t="s">
        <v>4</v>
      </c>
      <c r="N39" s="764">
        <f>SUMIFS('Loan Entry'!$W$63:$W$66,'Loan Entry'!$D$63:$D$66,$C$34,'Loan Entry'!$AB$63:$AB$66,$C39,'Loan Entry'!$M$63:$M$66,'Loans to Cash Flows Wkst'!N$2)</f>
        <v>0</v>
      </c>
      <c r="O39" s="764">
        <f>SUMIFS('Loan Entry'!$W$63:$W$66,'Loan Entry'!$D$63:$D$66,$C$34,'Loan Entry'!$AB$63:$AB$66,"*May*",'Loan Entry'!$M$63:$M$66,'Loans to Cash Flows Wkst'!O$2)</f>
        <v>0</v>
      </c>
      <c r="P39" s="764">
        <f>SUMIFS('Loan Entry'!$W$63:$W$66,'Loan Entry'!$D$63:$D$66,$C$34,'Loan Entry'!$AB$63:$AB$66,"*May*",'Loan Entry'!$M$63:$M$66,'Loans to Cash Flows Wkst'!P$2)</f>
        <v>0</v>
      </c>
      <c r="Q39" s="764">
        <f>SUMIFS('Loan Entry'!$W$63:$W$66,'Loan Entry'!$D$63:$D$66,$C$34,'Loan Entry'!$AB$63:$AB$66,"*May*",'Loan Entry'!$M$63:$M$66,'Loans to Cash Flows Wkst'!Q$2)</f>
        <v>0</v>
      </c>
    </row>
    <row r="40" spans="2:17" x14ac:dyDescent="0.2">
      <c r="B40" s="852" t="s">
        <v>190</v>
      </c>
      <c r="C40" s="868" t="s">
        <v>9</v>
      </c>
      <c r="D40" s="765">
        <f>SUM('Loans to Cash Flows Wkst'!$H40:$K40,'Loans to Cash Flows Wkst'!$N40:$Q40)</f>
        <v>0</v>
      </c>
      <c r="G40" s="852" t="s">
        <v>9</v>
      </c>
      <c r="H40" s="765">
        <f>SUMIFS('Loan Entry'!$V$63:$V$66,'Loan Entry'!$D$63:$D$66,$C$34,'Loan Entry'!$AB$63:$AB$66,$C40,'Loan Entry'!$M$63:$M$66,'Loans to Cash Flows Wkst'!H$2)</f>
        <v>0</v>
      </c>
      <c r="I40" s="765">
        <f>SUMIFS('Loan Entry'!$V$63:$V$66,'Loan Entry'!$D$63:$D$66,$C$34,'Loan Entry'!$AB$63:$AB$66,"*Jun*",'Loan Entry'!$M$63:$M$66,'Loans to Cash Flows Wkst'!I$2)</f>
        <v>0</v>
      </c>
      <c r="J40" s="765">
        <f>SUMIFS('Loan Entry'!$V$63:$V$66,'Loan Entry'!$D$63:$D$66,$C$34,'Loan Entry'!$AB$63:$AB$66,"*Jun*",'Loan Entry'!$M$63:$M$66,'Loans to Cash Flows Wkst'!J$2)</f>
        <v>0</v>
      </c>
      <c r="K40" s="765">
        <f>SUMIFS('Loan Entry'!$V$63:$V$66,'Loan Entry'!$D$63:$D$66,$C$34,'Loan Entry'!$AB$63:$AB$66,"*Jun*",'Loan Entry'!$M$63:$M$66,'Loans to Cash Flows Wkst'!K$2)</f>
        <v>0</v>
      </c>
      <c r="M40" s="852" t="s">
        <v>9</v>
      </c>
      <c r="N40" s="765">
        <f>SUMIFS('Loan Entry'!$W$63:$W$66,'Loan Entry'!$D$63:$D$66,$C$34,'Loan Entry'!$AB$63:$AB$66,$C40,'Loan Entry'!$M$63:$M$66,'Loans to Cash Flows Wkst'!N$2)</f>
        <v>0</v>
      </c>
      <c r="O40" s="765">
        <f>SUMIFS('Loan Entry'!$W$63:$W$66,'Loan Entry'!$D$63:$D$66,$C$34,'Loan Entry'!$AB$63:$AB$66,"*Jun*",'Loan Entry'!$M$63:$M$66,'Loans to Cash Flows Wkst'!O$2)</f>
        <v>0</v>
      </c>
      <c r="P40" s="765">
        <f>SUMIFS('Loan Entry'!$W$63:$W$66,'Loan Entry'!$D$63:$D$66,$C$34,'Loan Entry'!$AB$63:$AB$66,"*Jun*",'Loan Entry'!$M$63:$M$66,'Loans to Cash Flows Wkst'!P$2)</f>
        <v>0</v>
      </c>
      <c r="Q40" s="765">
        <f>SUMIFS('Loan Entry'!$W$63:$W$66,'Loan Entry'!$D$63:$D$66,$C$34,'Loan Entry'!$AB$63:$AB$66,"*Jun*",'Loan Entry'!$M$63:$M$66,'Loans to Cash Flows Wkst'!Q$2)</f>
        <v>0</v>
      </c>
    </row>
    <row r="41" spans="2:17" x14ac:dyDescent="0.2">
      <c r="B41" s="855" t="s">
        <v>191</v>
      </c>
      <c r="C41" s="867" t="s">
        <v>10</v>
      </c>
      <c r="D41" s="764">
        <f>SUM('Loans to Cash Flows Wkst'!$H41:$K41,'Loans to Cash Flows Wkst'!$N41:$Q41)</f>
        <v>0</v>
      </c>
      <c r="G41" s="855" t="s">
        <v>10</v>
      </c>
      <c r="H41" s="764">
        <f>SUMIFS('Loan Entry'!$V$63:$V$66,'Loan Entry'!$D$63:$D$66,$C$34,'Loan Entry'!$AB$63:$AB$66,$C41,'Loan Entry'!$M$63:$M$66,'Loans to Cash Flows Wkst'!H$2)</f>
        <v>0</v>
      </c>
      <c r="I41" s="764">
        <f>SUMIFS('Loan Entry'!$V$63:$V$66,'Loan Entry'!$D$63:$D$66,$C$34,'Loan Entry'!$AB$63:$AB$66,"*Jul*",'Loan Entry'!$M$63:$M$66,'Loans to Cash Flows Wkst'!I$2)</f>
        <v>0</v>
      </c>
      <c r="J41" s="764">
        <f>SUMIFS('Loan Entry'!$V$63:$V$66,'Loan Entry'!$D$63:$D$66,$C$34,'Loan Entry'!$AB$63:$AB$66,"*Jul*",'Loan Entry'!$M$63:$M$66,'Loans to Cash Flows Wkst'!J$2)</f>
        <v>0</v>
      </c>
      <c r="K41" s="764">
        <f>SUMIFS('Loan Entry'!$V$63:$V$66,'Loan Entry'!$D$63:$D$66,$C$34,'Loan Entry'!$AB$63:$AB$66,"*Jul*",'Loan Entry'!$M$63:$M$66,'Loans to Cash Flows Wkst'!K$2)</f>
        <v>0</v>
      </c>
      <c r="M41" s="855" t="s">
        <v>10</v>
      </c>
      <c r="N41" s="764">
        <f>SUMIFS('Loan Entry'!$W$63:$W$66,'Loan Entry'!$D$63:$D$66,$C$34,'Loan Entry'!$AB$63:$AB$66,$C41,'Loan Entry'!$M$63:$M$66,'Loans to Cash Flows Wkst'!N$2)</f>
        <v>0</v>
      </c>
      <c r="O41" s="764">
        <f>SUMIFS('Loan Entry'!$W$63:$W$66,'Loan Entry'!$D$63:$D$66,$C$34,'Loan Entry'!$AB$63:$AB$66,"*Jul*",'Loan Entry'!$M$63:$M$66,'Loans to Cash Flows Wkst'!O$2)</f>
        <v>0</v>
      </c>
      <c r="P41" s="764">
        <f>SUMIFS('Loan Entry'!$W$63:$W$66,'Loan Entry'!$D$63:$D$66,$C$34,'Loan Entry'!$AB$63:$AB$66,"*Jul*",'Loan Entry'!$M$63:$M$66,'Loans to Cash Flows Wkst'!P$2)</f>
        <v>0</v>
      </c>
      <c r="Q41" s="764">
        <f>SUMIFS('Loan Entry'!$W$63:$W$66,'Loan Entry'!$D$63:$D$66,$C$34,'Loan Entry'!$AB$63:$AB$66,"*Jul*",'Loan Entry'!$M$63:$M$66,'Loans to Cash Flows Wkst'!Q$2)</f>
        <v>0</v>
      </c>
    </row>
    <row r="42" spans="2:17" x14ac:dyDescent="0.2">
      <c r="B42" s="852" t="s">
        <v>192</v>
      </c>
      <c r="C42" s="868" t="s">
        <v>11</v>
      </c>
      <c r="D42" s="765">
        <f>SUM('Loans to Cash Flows Wkst'!$H42:$K42,'Loans to Cash Flows Wkst'!$N42:$Q42)</f>
        <v>0</v>
      </c>
      <c r="G42" s="852" t="s">
        <v>11</v>
      </c>
      <c r="H42" s="765">
        <f>SUMIFS('Loan Entry'!$V$63:$V$66,'Loan Entry'!$D$63:$D$66,$C$34,'Loan Entry'!$AB$63:$AB$66,$C42,'Loan Entry'!$M$63:$M$66,'Loans to Cash Flows Wkst'!H$2)</f>
        <v>0</v>
      </c>
      <c r="I42" s="765">
        <f>SUMIFS('Loan Entry'!$V$63:$V$66,'Loan Entry'!$D$63:$D$66,$C$34,'Loan Entry'!$AB$63:$AB$66,"*Aug*",'Loan Entry'!$M$63:$M$66,'Loans to Cash Flows Wkst'!I$2)</f>
        <v>0</v>
      </c>
      <c r="J42" s="765">
        <f>SUMIFS('Loan Entry'!$V$63:$V$66,'Loan Entry'!$D$63:$D$66,$C$34,'Loan Entry'!$AB$63:$AB$66,"*Aug*",'Loan Entry'!$M$63:$M$66,'Loans to Cash Flows Wkst'!J$2)</f>
        <v>0</v>
      </c>
      <c r="K42" s="765">
        <f>SUMIFS('Loan Entry'!$V$63:$V$66,'Loan Entry'!$D$63:$D$66,$C$34,'Loan Entry'!$AB$63:$AB$66,"*Aug*",'Loan Entry'!$M$63:$M$66,'Loans to Cash Flows Wkst'!K$2)</f>
        <v>0</v>
      </c>
      <c r="M42" s="852" t="s">
        <v>11</v>
      </c>
      <c r="N42" s="765">
        <f>SUMIFS('Loan Entry'!$W$63:$W$66,'Loan Entry'!$D$63:$D$66,$C$34,'Loan Entry'!$AB$63:$AB$66,$C42,'Loan Entry'!$M$63:$M$66,'Loans to Cash Flows Wkst'!N$2)</f>
        <v>0</v>
      </c>
      <c r="O42" s="765">
        <f>SUMIFS('Loan Entry'!$W$63:$W$66,'Loan Entry'!$D$63:$D$66,$C$34,'Loan Entry'!$AB$63:$AB$66,"*Aug*",'Loan Entry'!$M$63:$M$66,'Loans to Cash Flows Wkst'!O$2)</f>
        <v>0</v>
      </c>
      <c r="P42" s="765">
        <f>SUMIFS('Loan Entry'!$W$63:$W$66,'Loan Entry'!$D$63:$D$66,$C$34,'Loan Entry'!$AB$63:$AB$66,"*Aug*",'Loan Entry'!$M$63:$M$66,'Loans to Cash Flows Wkst'!P$2)</f>
        <v>0</v>
      </c>
      <c r="Q42" s="765">
        <f>SUMIFS('Loan Entry'!$W$63:$W$66,'Loan Entry'!$D$63:$D$66,$C$34,'Loan Entry'!$AB$63:$AB$66,"*Aug*",'Loan Entry'!$M$63:$M$66,'Loans to Cash Flows Wkst'!Q$2)</f>
        <v>0</v>
      </c>
    </row>
    <row r="43" spans="2:17" x14ac:dyDescent="0.2">
      <c r="B43" s="855" t="s">
        <v>193</v>
      </c>
      <c r="C43" s="867" t="s">
        <v>12</v>
      </c>
      <c r="D43" s="764">
        <f>SUM('Loans to Cash Flows Wkst'!$H43:$K43,'Loans to Cash Flows Wkst'!$N43:$Q43)</f>
        <v>0</v>
      </c>
      <c r="G43" s="855" t="s">
        <v>12</v>
      </c>
      <c r="H43" s="764">
        <f>SUMIFS('Loan Entry'!$V$63:$V$66,'Loan Entry'!$D$63:$D$66,$C$34,'Loan Entry'!$AB$63:$AB$66,$C43,'Loan Entry'!$M$63:$M$66,'Loans to Cash Flows Wkst'!H$2)</f>
        <v>0</v>
      </c>
      <c r="I43" s="764">
        <f>SUMIFS('Loan Entry'!$V$63:$V$66,'Loan Entry'!$D$63:$D$66,$C$34,'Loan Entry'!$AB$63:$AB$66,"*Sep*",'Loan Entry'!$M$63:$M$66,'Loans to Cash Flows Wkst'!I$2)</f>
        <v>0</v>
      </c>
      <c r="J43" s="764">
        <f>SUMIFS('Loan Entry'!$V$63:$V$66,'Loan Entry'!$D$63:$D$66,$C$34,'Loan Entry'!$AB$63:$AB$66,"*Sep*",'Loan Entry'!$M$63:$M$66,'Loans to Cash Flows Wkst'!J$2)</f>
        <v>0</v>
      </c>
      <c r="K43" s="764">
        <f>SUMIFS('Loan Entry'!$V$63:$V$66,'Loan Entry'!$D$63:$D$66,$C$34,'Loan Entry'!$AB$63:$AB$66,"*Sep*",'Loan Entry'!$M$63:$M$66,'Loans to Cash Flows Wkst'!K$2)</f>
        <v>0</v>
      </c>
      <c r="M43" s="855" t="s">
        <v>12</v>
      </c>
      <c r="N43" s="764">
        <f>SUMIFS('Loan Entry'!$W$63:$W$66,'Loan Entry'!$D$63:$D$66,$C$34,'Loan Entry'!$AB$63:$AB$66,$C43,'Loan Entry'!$M$63:$M$66,'Loans to Cash Flows Wkst'!N$2)</f>
        <v>0</v>
      </c>
      <c r="O43" s="764">
        <f>SUMIFS('Loan Entry'!$W$63:$W$66,'Loan Entry'!$D$63:$D$66,$C$34,'Loan Entry'!$AB$63:$AB$66,"*Sep*",'Loan Entry'!$M$63:$M$66,'Loans to Cash Flows Wkst'!O$2)</f>
        <v>0</v>
      </c>
      <c r="P43" s="764">
        <f>SUMIFS('Loan Entry'!$W$63:$W$66,'Loan Entry'!$D$63:$D$66,$C$34,'Loan Entry'!$AB$63:$AB$66,"*Sep*",'Loan Entry'!$M$63:$M$66,'Loans to Cash Flows Wkst'!P$2)</f>
        <v>0</v>
      </c>
      <c r="Q43" s="764">
        <f>SUMIFS('Loan Entry'!$W$63:$W$66,'Loan Entry'!$D$63:$D$66,$C$34,'Loan Entry'!$AB$63:$AB$66,"*Sep*",'Loan Entry'!$M$63:$M$66,'Loans to Cash Flows Wkst'!Q$2)</f>
        <v>0</v>
      </c>
    </row>
    <row r="44" spans="2:17" x14ac:dyDescent="0.2">
      <c r="B44" s="852" t="s">
        <v>194</v>
      </c>
      <c r="C44" s="868" t="s">
        <v>13</v>
      </c>
      <c r="D44" s="765">
        <f>SUM('Loans to Cash Flows Wkst'!$H44:$K44,'Loans to Cash Flows Wkst'!$N44:$Q44)</f>
        <v>0</v>
      </c>
      <c r="G44" s="852" t="s">
        <v>13</v>
      </c>
      <c r="H44" s="765">
        <f>SUMIFS('Loan Entry'!$V$63:$V$66,'Loan Entry'!$D$63:$D$66,$C$34,'Loan Entry'!$AB$63:$AB$66,$C44,'Loan Entry'!$M$63:$M$66,'Loans to Cash Flows Wkst'!H$2)</f>
        <v>0</v>
      </c>
      <c r="I44" s="765">
        <f>SUMIFS('Loan Entry'!$V$63:$V$66,'Loan Entry'!$D$63:$D$66,$C$34,'Loan Entry'!$AB$63:$AB$66,"*Oct*",'Loan Entry'!$M$63:$M$66,'Loans to Cash Flows Wkst'!I$2)</f>
        <v>0</v>
      </c>
      <c r="J44" s="765">
        <f>SUMIFS('Loan Entry'!$V$63:$V$66,'Loan Entry'!$D$63:$D$66,$C$34,'Loan Entry'!$AB$63:$AB$66,"*Oct*",'Loan Entry'!$M$63:$M$66,'Loans to Cash Flows Wkst'!J$2)</f>
        <v>0</v>
      </c>
      <c r="K44" s="765">
        <f>SUMIFS('Loan Entry'!$V$63:$V$66,'Loan Entry'!$D$63:$D$66,$C$34,'Loan Entry'!$AB$63:$AB$66,"*Oct*",'Loan Entry'!$M$63:$M$66,'Loans to Cash Flows Wkst'!K$2)</f>
        <v>0</v>
      </c>
      <c r="M44" s="852" t="s">
        <v>13</v>
      </c>
      <c r="N44" s="765">
        <f>SUMIFS('Loan Entry'!$W$63:$W$66,'Loan Entry'!$D$63:$D$66,$C$34,'Loan Entry'!$AB$63:$AB$66,$C44,'Loan Entry'!$M$63:$M$66,'Loans to Cash Flows Wkst'!N$2)</f>
        <v>0</v>
      </c>
      <c r="O44" s="765">
        <f>SUMIFS('Loan Entry'!$W$63:$W$66,'Loan Entry'!$D$63:$D$66,$C$34,'Loan Entry'!$AB$63:$AB$66,"*Oct*",'Loan Entry'!$M$63:$M$66,'Loans to Cash Flows Wkst'!O$2)</f>
        <v>0</v>
      </c>
      <c r="P44" s="765">
        <f>SUMIFS('Loan Entry'!$W$63:$W$66,'Loan Entry'!$D$63:$D$66,$C$34,'Loan Entry'!$AB$63:$AB$66,"*Oct*",'Loan Entry'!$M$63:$M$66,'Loans to Cash Flows Wkst'!P$2)</f>
        <v>0</v>
      </c>
      <c r="Q44" s="765">
        <f>SUMIFS('Loan Entry'!$W$63:$W$66,'Loan Entry'!$D$63:$D$66,$C$34,'Loan Entry'!$AB$63:$AB$66,"*Oct*",'Loan Entry'!$M$63:$M$66,'Loans to Cash Flows Wkst'!Q$2)</f>
        <v>0</v>
      </c>
    </row>
    <row r="45" spans="2:17" x14ac:dyDescent="0.2">
      <c r="B45" s="855" t="s">
        <v>195</v>
      </c>
      <c r="C45" s="867" t="s">
        <v>14</v>
      </c>
      <c r="D45" s="764">
        <f>SUM('Loans to Cash Flows Wkst'!$H45:$K45,'Loans to Cash Flows Wkst'!$N45:$Q45)</f>
        <v>0</v>
      </c>
      <c r="G45" s="855" t="s">
        <v>14</v>
      </c>
      <c r="H45" s="764">
        <f>SUMIFS('Loan Entry'!$V$63:$V$66,'Loan Entry'!$D$63:$D$66,$C$34,'Loan Entry'!$AB$63:$AB$66,$C45,'Loan Entry'!$M$63:$M$66,'Loans to Cash Flows Wkst'!H$2)</f>
        <v>0</v>
      </c>
      <c r="I45" s="764">
        <f>SUMIFS('Loan Entry'!$V$63:$V$66,'Loan Entry'!$D$63:$D$66,$C$34,'Loan Entry'!$AB$63:$AB$66,"*Nov*",'Loan Entry'!$M$63:$M$66,'Loans to Cash Flows Wkst'!I$2)</f>
        <v>0</v>
      </c>
      <c r="J45" s="764">
        <f>SUMIFS('Loan Entry'!$V$63:$V$66,'Loan Entry'!$D$63:$D$66,$C$34,'Loan Entry'!$AB$63:$AB$66,"*Nov*",'Loan Entry'!$M$63:$M$66,'Loans to Cash Flows Wkst'!J$2)</f>
        <v>0</v>
      </c>
      <c r="K45" s="764">
        <f>SUMIFS('Loan Entry'!$V$63:$V$66,'Loan Entry'!$D$63:$D$66,$C$34,'Loan Entry'!$AB$63:$AB$66,"*Nov*",'Loan Entry'!$M$63:$M$66,'Loans to Cash Flows Wkst'!K$2)</f>
        <v>0</v>
      </c>
      <c r="M45" s="855" t="s">
        <v>14</v>
      </c>
      <c r="N45" s="764">
        <f>SUMIFS('Loan Entry'!$W$63:$W$66,'Loan Entry'!$D$63:$D$66,$C$34,'Loan Entry'!$AB$63:$AB$66,$C45,'Loan Entry'!$M$63:$M$66,'Loans to Cash Flows Wkst'!N$2)</f>
        <v>0</v>
      </c>
      <c r="O45" s="764">
        <f>SUMIFS('Loan Entry'!$W$63:$W$66,'Loan Entry'!$D$63:$D$66,$C$34,'Loan Entry'!$AB$63:$AB$66,"*Nov*",'Loan Entry'!$M$63:$M$66,'Loans to Cash Flows Wkst'!O$2)</f>
        <v>0</v>
      </c>
      <c r="P45" s="764">
        <f>SUMIFS('Loan Entry'!$W$63:$W$66,'Loan Entry'!$D$63:$D$66,$C$34,'Loan Entry'!$AB$63:$AB$66,"*Nov*",'Loan Entry'!$M$63:$M$66,'Loans to Cash Flows Wkst'!P$2)</f>
        <v>0</v>
      </c>
      <c r="Q45" s="764">
        <f>SUMIFS('Loan Entry'!$W$63:$W$66,'Loan Entry'!$D$63:$D$66,$C$34,'Loan Entry'!$AB$63:$AB$66,"*Nov*",'Loan Entry'!$M$63:$M$66,'Loans to Cash Flows Wkst'!Q$2)</f>
        <v>0</v>
      </c>
    </row>
    <row r="46" spans="2:17" ht="13.5" thickBot="1" x14ac:dyDescent="0.25">
      <c r="B46" s="852" t="s">
        <v>196</v>
      </c>
      <c r="C46" s="868" t="s">
        <v>15</v>
      </c>
      <c r="D46" s="765">
        <f>SUM('Loans to Cash Flows Wkst'!$H46:$K46,'Loans to Cash Flows Wkst'!$N46:$Q46)</f>
        <v>0</v>
      </c>
      <c r="G46" s="852" t="s">
        <v>15</v>
      </c>
      <c r="H46" s="765">
        <f>SUMIFS('Loan Entry'!$V$63:$V$66,'Loan Entry'!$D$63:$D$66,$C$34,'Loan Entry'!$AB$63:$AB$66,$C46,'Loan Entry'!$M$63:$M$66,'Loans to Cash Flows Wkst'!H$2)</f>
        <v>0</v>
      </c>
      <c r="I46" s="765">
        <f>SUMIFS('Loan Entry'!$V$63:$V$66,'Loan Entry'!$D$63:$D$66,$C$34,'Loan Entry'!$AB$63:$AB$66,"*Dec*",'Loan Entry'!$M$63:$M$66,'Loans to Cash Flows Wkst'!I$2)</f>
        <v>0</v>
      </c>
      <c r="J46" s="765">
        <f>SUMIFS('Loan Entry'!$V$63:$V$66,'Loan Entry'!$D$63:$D$66,$C$34,'Loan Entry'!$AB$63:$AB$66,"*Dec*",'Loan Entry'!$M$63:$M$66,'Loans to Cash Flows Wkst'!J$2)</f>
        <v>0</v>
      </c>
      <c r="K46" s="765">
        <f>SUMIFS('Loan Entry'!$V$63:$V$66,'Loan Entry'!$D$63:$D$66,$C$34,'Loan Entry'!$AB$63:$AB$66,"*Dec*",'Loan Entry'!$M$63:$M$66,'Loans to Cash Flows Wkst'!K$2)</f>
        <v>0</v>
      </c>
      <c r="M46" s="852" t="s">
        <v>15</v>
      </c>
      <c r="N46" s="765">
        <f>SUMIFS('Loan Entry'!$W$63:$W$66,'Loan Entry'!$D$63:$D$66,$C$34,'Loan Entry'!$AB$63:$AB$66,$C46,'Loan Entry'!$M$63:$M$66,'Loans to Cash Flows Wkst'!N$2)</f>
        <v>0</v>
      </c>
      <c r="O46" s="765">
        <f>SUMIFS('Loan Entry'!$W$63:$W$66,'Loan Entry'!$D$63:$D$66,$C$34,'Loan Entry'!$AB$63:$AB$66,"*Dec*",'Loan Entry'!$M$63:$M$66,'Loans to Cash Flows Wkst'!O$2)</f>
        <v>0</v>
      </c>
      <c r="P46" s="765">
        <f>SUMIFS('Loan Entry'!$W$63:$W$66,'Loan Entry'!$D$63:$D$66,$C$34,'Loan Entry'!$AB$63:$AB$66,"*Dec*",'Loan Entry'!$M$63:$M$66,'Loans to Cash Flows Wkst'!P$2)</f>
        <v>0</v>
      </c>
      <c r="Q46" s="765">
        <f>SUMIFS('Loan Entry'!$W$63:$W$66,'Loan Entry'!$D$63:$D$66,$C$34,'Loan Entry'!$AB$63:$AB$66,"*Dec*",'Loan Entry'!$M$63:$M$66,'Loans to Cash Flows Wkst'!Q$2)</f>
        <v>0</v>
      </c>
    </row>
    <row r="47" spans="2:17" ht="13.5" thickTop="1" x14ac:dyDescent="0.2">
      <c r="B47" s="859"/>
      <c r="C47" s="860"/>
      <c r="D47" s="861">
        <f>SUM('Loans to Cash Flows Wkst'!$D$35:$D$46)</f>
        <v>0</v>
      </c>
      <c r="G47" s="864"/>
      <c r="H47" s="847">
        <f>SUM('Loans to Cash Flows Wkst'!$H$35:$H$46)</f>
        <v>0</v>
      </c>
      <c r="I47" s="847">
        <f>SUM('Loans to Cash Flows Wkst'!$I$35:$I$46)</f>
        <v>0</v>
      </c>
      <c r="J47" s="847">
        <f>SUM('Loans to Cash Flows Wkst'!$J$35:$J$46)</f>
        <v>0</v>
      </c>
      <c r="K47" s="847">
        <f>SUM('Loans to Cash Flows Wkst'!$K$35:$K$46)</f>
        <v>0</v>
      </c>
      <c r="M47" s="864"/>
      <c r="N47" s="847">
        <f>SUM('Loans to Cash Flows Wkst'!$N$35:$N$46)</f>
        <v>0</v>
      </c>
      <c r="O47" s="847">
        <f>SUM('Loans to Cash Flows Wkst'!$O$35:$O$46)</f>
        <v>0</v>
      </c>
      <c r="P47" s="847">
        <f>SUM('Loans to Cash Flows Wkst'!$P$35:$P$46)</f>
        <v>0</v>
      </c>
      <c r="Q47" s="847">
        <f>SUM('Loans to Cash Flows Wkst'!$Q$35:$Q$46)</f>
        <v>0</v>
      </c>
    </row>
    <row r="51" spans="2:17" ht="13.5" thickBot="1" x14ac:dyDescent="0.25">
      <c r="B51" s="438" t="s">
        <v>126</v>
      </c>
      <c r="C51" s="439" t="s">
        <v>237</v>
      </c>
      <c r="D51" s="439" t="s">
        <v>179</v>
      </c>
      <c r="G51" s="438" t="s">
        <v>200</v>
      </c>
      <c r="H51" s="439" t="s">
        <v>105</v>
      </c>
      <c r="I51" s="439" t="s">
        <v>103</v>
      </c>
      <c r="J51" s="439" t="s">
        <v>101</v>
      </c>
      <c r="K51" s="439" t="s">
        <v>100</v>
      </c>
      <c r="M51" s="438" t="s">
        <v>200</v>
      </c>
      <c r="N51" s="768" t="s">
        <v>105</v>
      </c>
      <c r="O51" s="768" t="s">
        <v>103</v>
      </c>
      <c r="P51" s="768" t="s">
        <v>101</v>
      </c>
      <c r="Q51" s="768" t="s">
        <v>100</v>
      </c>
    </row>
    <row r="52" spans="2:17" ht="14.25" thickTop="1" thickBot="1" x14ac:dyDescent="0.25">
      <c r="B52" s="849" t="s">
        <v>186</v>
      </c>
      <c r="C52" s="869" t="s">
        <v>5</v>
      </c>
      <c r="D52" s="870">
        <f>SUM('Loans to Cash Flows Wkst'!$H52:$K52,'Loans to Cash Flows Wkst'!$N52:$Q52)</f>
        <v>0</v>
      </c>
      <c r="G52" s="869" t="s">
        <v>5</v>
      </c>
      <c r="H52" s="870">
        <f>SUMIFS('Loan Entry'!$V$71:$V$74,'Loan Entry'!$D$71:$D$74,$C$51,'Loan Entry'!$AB$71:$AB$74,$C35,'Loan Entry'!$M$71:$M$74,'Loans to Cash Flows Wkst'!N$2)</f>
        <v>0</v>
      </c>
      <c r="I52" s="771">
        <f>SUMIFS('Loan Entry'!$V$71:$V$74,'Loan Entry'!$D$71:$D$74,$C$51,'Loan Entry'!$AB$71:$AB$74,"*Jan*",'Loan Entry'!$M$71:$M$74,'Loans to Cash Flows Wkst'!O$2)</f>
        <v>0</v>
      </c>
      <c r="J52" s="771">
        <f>SUMIFS('Loan Entry'!$V$71:$V$74,'Loan Entry'!$D$71:$D$74,$C$51,'Loan Entry'!$AB$71:$AB$74,"*Jan*",'Loan Entry'!$M$71:$M$74,'Loans to Cash Flows Wkst'!P$2)</f>
        <v>0</v>
      </c>
      <c r="K52" s="771">
        <f>SUMIFS('Loan Entry'!$V$71:$V$74,'Loan Entry'!$D$71:$D$74,$C$51,'Loan Entry'!$AB$71:$AB$74,"*Jan*",'Loan Entry'!$M$71:$M$74,'Loans to Cash Flows Wkst'!Q$2)</f>
        <v>0</v>
      </c>
      <c r="M52" s="862" t="s">
        <v>5</v>
      </c>
      <c r="N52" s="771">
        <f>SUMIFS('Loan Entry'!$W$71:$W$74,'Loan Entry'!$D$71:$D$74,$C$51,'Loan Entry'!$AB$71:$AB$74,$C52,'Loan Entry'!$M$71:$M$74,'Loans to Cash Flows Wkst'!N$2)</f>
        <v>0</v>
      </c>
      <c r="O52" s="771">
        <f>SUMIFS('Loan Entry'!$W$71:$W$74,'Loan Entry'!$D$71:$D$74,$C$51,'Loan Entry'!$AB$71:$AB$74,"*Jan*",'Loan Entry'!$M$71:$M$74,'Loans to Cash Flows Wkst'!O$2)</f>
        <v>0</v>
      </c>
      <c r="P52" s="771">
        <f>SUMIFS('Loan Entry'!$W$71:$W$74,'Loan Entry'!$D$71:$D$74,$C$51,'Loan Entry'!$AB$71:$AB$74,"*Jan*",'Loan Entry'!$M$71:$M$74,'Loans to Cash Flows Wkst'!P$2)</f>
        <v>0</v>
      </c>
      <c r="Q52" s="771">
        <f>SUMIFS('Loan Entry'!$W$71:$W$74,'Loan Entry'!$D$71:$D$74,$C$51,'Loan Entry'!$AB$71:$AB$74,"*Jan*",'Loan Entry'!$M$71:$M$74,'Loans to Cash Flows Wkst'!Q$2)</f>
        <v>0</v>
      </c>
    </row>
    <row r="53" spans="2:17" ht="13.5" thickBot="1" x14ac:dyDescent="0.25">
      <c r="B53" s="852" t="s">
        <v>187</v>
      </c>
      <c r="C53" s="871" t="s">
        <v>6</v>
      </c>
      <c r="D53" s="872">
        <f>SUM('Loans to Cash Flows Wkst'!$H53:$K53,'Loans to Cash Flows Wkst'!$N53:$Q53)</f>
        <v>0</v>
      </c>
      <c r="G53" s="878" t="s">
        <v>6</v>
      </c>
      <c r="H53" s="872">
        <f>SUMIFS('Loan Entry'!$V$71:$V$74,'Loan Entry'!$D$71:$D$74,$C$51,'Loan Entry'!$AB$71:$AB$74,$C36,'Loan Entry'!$M$71:$M$74,'Loans to Cash Flows Wkst'!N$2)</f>
        <v>0</v>
      </c>
      <c r="I53" s="765">
        <f>SUMIFS('Loan Entry'!$V$71:$V$74,'Loan Entry'!$D$71:$D$74,$C$51,'Loan Entry'!$AB$71:$AB$74,"*Feb*",'Loan Entry'!$M$71:$M$74,'Loans to Cash Flows Wkst'!O$2)</f>
        <v>0</v>
      </c>
      <c r="J53" s="765">
        <f>SUMIFS('Loan Entry'!$V$71:$V$74,'Loan Entry'!$D$71:$D$74,$C$51,'Loan Entry'!$AB$71:$AB$74,"*Feb*",'Loan Entry'!$M$71:$M$74,'Loans to Cash Flows Wkst'!P$2)</f>
        <v>0</v>
      </c>
      <c r="K53" s="765">
        <f>SUMIFS('Loan Entry'!$V$71:$V$74,'Loan Entry'!$D$71:$D$74,$C$51,'Loan Entry'!$AB$71:$AB$74,"*Feb*",'Loan Entry'!$M$71:$M$74,'Loans to Cash Flows Wkst'!Q$2)</f>
        <v>0</v>
      </c>
      <c r="M53" s="863" t="s">
        <v>6</v>
      </c>
      <c r="N53" s="765">
        <f>SUMIFS('Loan Entry'!$W$71:$W$74,'Loan Entry'!$D$71:$D$74,$C$51,'Loan Entry'!$AB$71:$AB$74,$C53,'Loan Entry'!$M$71:$M$74,'Loans to Cash Flows Wkst'!N$2)</f>
        <v>0</v>
      </c>
      <c r="O53" s="765">
        <f>SUMIFS('Loan Entry'!$W$71:$W$74,'Loan Entry'!$D$71:$D$74,$C$51,'Loan Entry'!$AB$71:$AB$74,"*Feb*",'Loan Entry'!$M$71:$M$74,'Loans to Cash Flows Wkst'!O$2)</f>
        <v>0</v>
      </c>
      <c r="P53" s="765">
        <f>SUMIFS('Loan Entry'!$W$71:$W$74,'Loan Entry'!$D$71:$D$74,$C$51,'Loan Entry'!$AB$71:$AB$74,"*Feb*",'Loan Entry'!$M$71:$M$74,'Loans to Cash Flows Wkst'!P$2)</f>
        <v>0</v>
      </c>
      <c r="Q53" s="765">
        <f>SUMIFS('Loan Entry'!$W$71:$W$74,'Loan Entry'!$D$71:$D$74,$C$51,'Loan Entry'!$AB$71:$AB$74,"*Feb*",'Loan Entry'!$M$71:$M$74,'Loans to Cash Flows Wkst'!Q$2)</f>
        <v>0</v>
      </c>
    </row>
    <row r="54" spans="2:17" ht="13.5" thickBot="1" x14ac:dyDescent="0.25">
      <c r="B54" s="855" t="s">
        <v>188</v>
      </c>
      <c r="C54" s="873" t="s">
        <v>7</v>
      </c>
      <c r="D54" s="874">
        <f>SUM('Loans to Cash Flows Wkst'!$H54:$K54,'Loans to Cash Flows Wkst'!$N54:$Q54)</f>
        <v>0</v>
      </c>
      <c r="G54" s="879" t="s">
        <v>7</v>
      </c>
      <c r="H54" s="874">
        <f>SUMIFS('Loan Entry'!$V$71:$V$74,'Loan Entry'!$D$71:$D$74,$C$51,'Loan Entry'!$AB$71:$AB$74,$C37,'Loan Entry'!$M$71:$M$74,'Loans to Cash Flows Wkst'!N$2)</f>
        <v>0</v>
      </c>
      <c r="I54" s="764">
        <f>SUMIFS('Loan Entry'!$V$71:$V$74,'Loan Entry'!$D$71:$D$74,$C$51,'Loan Entry'!$AB$71:$AB$74,"*Mar*",'Loan Entry'!$M$71:$M$74,'Loans to Cash Flows Wkst'!O$2)</f>
        <v>0</v>
      </c>
      <c r="J54" s="764">
        <f>SUMIFS('Loan Entry'!$V$71:$V$74,'Loan Entry'!$D$71:$D$74,$C$51,'Loan Entry'!$AB$71:$AB$74,"*Mar*",'Loan Entry'!$M$71:$M$74,'Loans to Cash Flows Wkst'!P$2)</f>
        <v>0</v>
      </c>
      <c r="K54" s="764">
        <f>SUMIFS('Loan Entry'!$V$71:$V$74,'Loan Entry'!$D$71:$D$74,$C$51,'Loan Entry'!$AB$71:$AB$74,"*Mar*",'Loan Entry'!$M$71:$M$74,'Loans to Cash Flows Wkst'!Q$2)</f>
        <v>0</v>
      </c>
      <c r="M54" s="855" t="s">
        <v>7</v>
      </c>
      <c r="N54" s="764">
        <f>SUMIFS('Loan Entry'!$W$71:$W$74,'Loan Entry'!$D$71:$D$74,$C$51,'Loan Entry'!$AB$71:$AB$74,$C54,'Loan Entry'!$M$71:$M$74,'Loans to Cash Flows Wkst'!N$2)</f>
        <v>0</v>
      </c>
      <c r="O54" s="764">
        <f>SUMIFS('Loan Entry'!$W$71:$W$74,'Loan Entry'!$D$71:$D$74,$C$51,'Loan Entry'!$AB$71:$AB$74,"*Mar*",'Loan Entry'!$M$71:$M$74,'Loans to Cash Flows Wkst'!O$2)</f>
        <v>0</v>
      </c>
      <c r="P54" s="764">
        <f>SUMIFS('Loan Entry'!$W$71:$W$74,'Loan Entry'!$D$71:$D$74,$C$51,'Loan Entry'!$AB$71:$AB$74,"*Mar*",'Loan Entry'!$M$71:$M$74,'Loans to Cash Flows Wkst'!P$2)</f>
        <v>0</v>
      </c>
      <c r="Q54" s="764">
        <f>SUMIFS('Loan Entry'!$W$71:$W$74,'Loan Entry'!$D$71:$D$74,$C$51,'Loan Entry'!$AB$71:$AB$74,"*Mar*",'Loan Entry'!$M$71:$M$74,'Loans to Cash Flows Wkst'!Q$2)</f>
        <v>0</v>
      </c>
    </row>
    <row r="55" spans="2:17" ht="13.5" thickBot="1" x14ac:dyDescent="0.25">
      <c r="B55" s="852" t="s">
        <v>189</v>
      </c>
      <c r="C55" s="875" t="s">
        <v>8</v>
      </c>
      <c r="D55" s="872">
        <f>SUM('Loans to Cash Flows Wkst'!$H55:$K55,'Loans to Cash Flows Wkst'!$N55:$Q55)</f>
        <v>0</v>
      </c>
      <c r="G55" s="880" t="s">
        <v>8</v>
      </c>
      <c r="H55" s="872">
        <f>SUMIFS('Loan Entry'!$V$71:$V$74,'Loan Entry'!$D$71:$D$74,$C$51,'Loan Entry'!$AB$71:$AB$74,$C38,'Loan Entry'!$M$71:$M$74,'Loans to Cash Flows Wkst'!N$2)</f>
        <v>0</v>
      </c>
      <c r="I55" s="765">
        <f>SUMIFS('Loan Entry'!$V$71:$V$74,'Loan Entry'!$D$71:$D$74,$C$51,'Loan Entry'!$AB$71:$AB$74,"*Apr*",'Loan Entry'!$M$71:$M$74,'Loans to Cash Flows Wkst'!O$2)</f>
        <v>0</v>
      </c>
      <c r="J55" s="765">
        <f>SUMIFS('Loan Entry'!$V$71:$V$74,'Loan Entry'!$D$71:$D$74,$C$51,'Loan Entry'!$AB$71:$AB$74,"*Apr*",'Loan Entry'!$M$71:$M$74,'Loans to Cash Flows Wkst'!P$2)</f>
        <v>0</v>
      </c>
      <c r="K55" s="765">
        <f>SUMIFS('Loan Entry'!$V$71:$V$74,'Loan Entry'!$D$71:$D$74,$C$51,'Loan Entry'!$AB$71:$AB$74,"*Apr*",'Loan Entry'!$M$71:$M$74,'Loans to Cash Flows Wkst'!Q$2)</f>
        <v>0</v>
      </c>
      <c r="M55" s="852" t="s">
        <v>8</v>
      </c>
      <c r="N55" s="765">
        <f>SUMIFS('Loan Entry'!$W$71:$W$74,'Loan Entry'!$D$71:$D$74,$C$51,'Loan Entry'!$AB$71:$AB$74,$C55,'Loan Entry'!$M$71:$M$74,'Loans to Cash Flows Wkst'!N$2)</f>
        <v>0</v>
      </c>
      <c r="O55" s="765">
        <f>SUMIFS('Loan Entry'!$W$71:$W$74,'Loan Entry'!$D$71:$D$74,$C$51,'Loan Entry'!$AB$71:$AB$74,"*Apr*",'Loan Entry'!$M$71:$M$74,'Loans to Cash Flows Wkst'!O$2)</f>
        <v>0</v>
      </c>
      <c r="P55" s="765">
        <f>SUMIFS('Loan Entry'!$W$71:$W$74,'Loan Entry'!$D$71:$D$74,$C$51,'Loan Entry'!$AB$71:$AB$74,"*Apr*",'Loan Entry'!$M$71:$M$74,'Loans to Cash Flows Wkst'!P$2)</f>
        <v>0</v>
      </c>
      <c r="Q55" s="765">
        <f>SUMIFS('Loan Entry'!$W$71:$W$74,'Loan Entry'!$D$71:$D$74,$C$51,'Loan Entry'!$AB$71:$AB$74,"*Apr*",'Loan Entry'!$M$71:$M$74,'Loans to Cash Flows Wkst'!Q$2)</f>
        <v>0</v>
      </c>
    </row>
    <row r="56" spans="2:17" ht="13.5" thickBot="1" x14ac:dyDescent="0.25">
      <c r="B56" s="855" t="s">
        <v>4</v>
      </c>
      <c r="C56" s="873" t="s">
        <v>4</v>
      </c>
      <c r="D56" s="874">
        <f>SUM('Loans to Cash Flows Wkst'!$H56:$K56,'Loans to Cash Flows Wkst'!$N56:$Q56)</f>
        <v>0</v>
      </c>
      <c r="G56" s="879" t="s">
        <v>4</v>
      </c>
      <c r="H56" s="874">
        <f>SUMIFS('Loan Entry'!$V$71:$V$74,'Loan Entry'!$D$71:$D$74,$C$51,'Loan Entry'!$AB$71:$AB$74,$C39,'Loan Entry'!$M$71:$M$74,'Loans to Cash Flows Wkst'!N$2)</f>
        <v>0</v>
      </c>
      <c r="I56" s="764">
        <f>SUMIFS('Loan Entry'!$V$71:$V$74,'Loan Entry'!$D$71:$D$74,$C$51,'Loan Entry'!$AB$71:$AB$74,"*May*",'Loan Entry'!$M$71:$M$74,'Loans to Cash Flows Wkst'!O$2)</f>
        <v>0</v>
      </c>
      <c r="J56" s="764">
        <f>SUMIFS('Loan Entry'!$V$71:$V$74,'Loan Entry'!$D$71:$D$74,$C$51,'Loan Entry'!$AB$71:$AB$74,"*May*",'Loan Entry'!$M$71:$M$74,'Loans to Cash Flows Wkst'!P$2)</f>
        <v>0</v>
      </c>
      <c r="K56" s="764">
        <f>SUMIFS('Loan Entry'!$V$71:$V$74,'Loan Entry'!$D$71:$D$74,$C$51,'Loan Entry'!$AB$71:$AB$74,"*May*",'Loan Entry'!$M$71:$M$74,'Loans to Cash Flows Wkst'!Q$2)</f>
        <v>0</v>
      </c>
      <c r="M56" s="855" t="s">
        <v>4</v>
      </c>
      <c r="N56" s="764">
        <f>SUMIFS('Loan Entry'!$W$71:$W$74,'Loan Entry'!$D$71:$D$74,$C$51,'Loan Entry'!$AB$71:$AB$74,$C56,'Loan Entry'!$M$71:$M$74,'Loans to Cash Flows Wkst'!N$2)</f>
        <v>0</v>
      </c>
      <c r="O56" s="764">
        <f>SUMIFS('Loan Entry'!$W$71:$W$74,'Loan Entry'!$D$71:$D$74,$C$51,'Loan Entry'!$AB$71:$AB$74,"*May*",'Loan Entry'!$M$71:$M$74,'Loans to Cash Flows Wkst'!O$2)</f>
        <v>0</v>
      </c>
      <c r="P56" s="764">
        <f>SUMIFS('Loan Entry'!$W$71:$W$74,'Loan Entry'!$D$71:$D$74,$C$51,'Loan Entry'!$AB$71:$AB$74,"*May*",'Loan Entry'!$M$71:$M$74,'Loans to Cash Flows Wkst'!P$2)</f>
        <v>0</v>
      </c>
      <c r="Q56" s="764">
        <f>SUMIFS('Loan Entry'!$W$71:$W$74,'Loan Entry'!$D$71:$D$74,$C$51,'Loan Entry'!$AB$71:$AB$74,"*May*",'Loan Entry'!$M$71:$M$74,'Loans to Cash Flows Wkst'!Q$2)</f>
        <v>0</v>
      </c>
    </row>
    <row r="57" spans="2:17" ht="13.5" thickBot="1" x14ac:dyDescent="0.25">
      <c r="B57" s="852" t="s">
        <v>190</v>
      </c>
      <c r="C57" s="875" t="s">
        <v>9</v>
      </c>
      <c r="D57" s="872">
        <f>SUM('Loans to Cash Flows Wkst'!$H57:$K57,'Loans to Cash Flows Wkst'!$N57:$Q57)</f>
        <v>0</v>
      </c>
      <c r="G57" s="880" t="s">
        <v>9</v>
      </c>
      <c r="H57" s="872">
        <f>SUMIFS('Loan Entry'!$V$71:$V$74,'Loan Entry'!$D$71:$D$74,$C$51,'Loan Entry'!$AB$71:$AB$74,$C40,'Loan Entry'!$M$71:$M$74,'Loans to Cash Flows Wkst'!N$2)</f>
        <v>0</v>
      </c>
      <c r="I57" s="765">
        <f>SUMIFS('Loan Entry'!$V$71:$V$74,'Loan Entry'!$D$71:$D$74,$C$51,'Loan Entry'!$AB$71:$AB$74,"*Jun*",'Loan Entry'!$M$71:$M$74,'Loans to Cash Flows Wkst'!O$2)</f>
        <v>0</v>
      </c>
      <c r="J57" s="765">
        <f>SUMIFS('Loan Entry'!$V$71:$V$74,'Loan Entry'!$D$71:$D$74,$C$51,'Loan Entry'!$AB$71:$AB$74,"*Jun*",'Loan Entry'!$M$71:$M$74,'Loans to Cash Flows Wkst'!P$2)</f>
        <v>0</v>
      </c>
      <c r="K57" s="765">
        <f>SUMIFS('Loan Entry'!$V$71:$V$74,'Loan Entry'!$D$71:$D$74,$C$51,'Loan Entry'!$AB$71:$AB$74,"*Jun*",'Loan Entry'!$M$71:$M$74,'Loans to Cash Flows Wkst'!Q$2)</f>
        <v>0</v>
      </c>
      <c r="M57" s="852" t="s">
        <v>9</v>
      </c>
      <c r="N57" s="765">
        <f>SUMIFS('Loan Entry'!$W$71:$W$74,'Loan Entry'!$D$71:$D$74,$C$51,'Loan Entry'!$AB$71:$AB$74,$C57,'Loan Entry'!$M$71:$M$74,'Loans to Cash Flows Wkst'!N$2)</f>
        <v>0</v>
      </c>
      <c r="O57" s="765">
        <f>SUMIFS('Loan Entry'!$W$71:$W$74,'Loan Entry'!$D$71:$D$74,$C$51,'Loan Entry'!$AB$71:$AB$74,"*Jun*",'Loan Entry'!$M$71:$M$74,'Loans to Cash Flows Wkst'!O$2)</f>
        <v>0</v>
      </c>
      <c r="P57" s="765">
        <f>SUMIFS('Loan Entry'!$W$71:$W$74,'Loan Entry'!$D$71:$D$74,$C$51,'Loan Entry'!$AB$71:$AB$74,"*Jun*",'Loan Entry'!$M$71:$M$74,'Loans to Cash Flows Wkst'!P$2)</f>
        <v>0</v>
      </c>
      <c r="Q57" s="765">
        <f>SUMIFS('Loan Entry'!$W$71:$W$74,'Loan Entry'!$D$71:$D$74,$C$51,'Loan Entry'!$AB$71:$AB$74,"*Jun*",'Loan Entry'!$M$71:$M$74,'Loans to Cash Flows Wkst'!Q$2)</f>
        <v>0</v>
      </c>
    </row>
    <row r="58" spans="2:17" ht="13.5" thickBot="1" x14ac:dyDescent="0.25">
      <c r="B58" s="855" t="s">
        <v>191</v>
      </c>
      <c r="C58" s="873" t="s">
        <v>10</v>
      </c>
      <c r="D58" s="874">
        <f>SUM('Loans to Cash Flows Wkst'!$H58:$K58,'Loans to Cash Flows Wkst'!$N58:$Q58)</f>
        <v>0</v>
      </c>
      <c r="G58" s="879" t="s">
        <v>10</v>
      </c>
      <c r="H58" s="874">
        <f>SUMIFS('Loan Entry'!$V$71:$V$74,'Loan Entry'!$D$71:$D$74,$C$51,'Loan Entry'!$AB$71:$AB$74,$C41,'Loan Entry'!$M$71:$M$74,'Loans to Cash Flows Wkst'!N$2)</f>
        <v>0</v>
      </c>
      <c r="I58" s="764">
        <f>SUMIFS('Loan Entry'!$V$71:$V$74,'Loan Entry'!$D$71:$D$74,$C$51,'Loan Entry'!$AB$71:$AB$74,"*Jul*",'Loan Entry'!$M$71:$M$74,'Loans to Cash Flows Wkst'!O$2)</f>
        <v>0</v>
      </c>
      <c r="J58" s="764">
        <f>SUMIFS('Loan Entry'!$V$71:$V$74,'Loan Entry'!$D$71:$D$74,$C$51,'Loan Entry'!$AB$71:$AB$74,"*Jul*",'Loan Entry'!$M$71:$M$74,'Loans to Cash Flows Wkst'!P$2)</f>
        <v>0</v>
      </c>
      <c r="K58" s="764">
        <f>SUMIFS('Loan Entry'!$V$71:$V$74,'Loan Entry'!$D$71:$D$74,$C$51,'Loan Entry'!$AB$71:$AB$74,"*Jul*",'Loan Entry'!$M$71:$M$74,'Loans to Cash Flows Wkst'!Q$2)</f>
        <v>0</v>
      </c>
      <c r="M58" s="855" t="s">
        <v>10</v>
      </c>
      <c r="N58" s="764">
        <f>SUMIFS('Loan Entry'!$W$71:$W$74,'Loan Entry'!$D$71:$D$74,$C$51,'Loan Entry'!$AB$71:$AB$74,$C58,'Loan Entry'!$M$71:$M$74,'Loans to Cash Flows Wkst'!N$2)</f>
        <v>0</v>
      </c>
      <c r="O58" s="764">
        <f>SUMIFS('Loan Entry'!$W$71:$W$74,'Loan Entry'!$D$71:$D$74,$C$51,'Loan Entry'!$AB$71:$AB$74,"*Jul*",'Loan Entry'!$M$71:$M$74,'Loans to Cash Flows Wkst'!O$2)</f>
        <v>0</v>
      </c>
      <c r="P58" s="764">
        <f>SUMIFS('Loan Entry'!$W$71:$W$74,'Loan Entry'!$D$71:$D$74,$C$51,'Loan Entry'!$AB$71:$AB$74,"*Jul*",'Loan Entry'!$M$71:$M$74,'Loans to Cash Flows Wkst'!P$2)</f>
        <v>0</v>
      </c>
      <c r="Q58" s="764">
        <f>SUMIFS('Loan Entry'!$W$71:$W$74,'Loan Entry'!$D$71:$D$74,$C$51,'Loan Entry'!$AB$71:$AB$74,"*Jul*",'Loan Entry'!$M$71:$M$74,'Loans to Cash Flows Wkst'!Q$2)</f>
        <v>0</v>
      </c>
    </row>
    <row r="59" spans="2:17" ht="13.5" thickBot="1" x14ac:dyDescent="0.25">
      <c r="B59" s="852" t="s">
        <v>192</v>
      </c>
      <c r="C59" s="875" t="s">
        <v>11</v>
      </c>
      <c r="D59" s="872">
        <f>SUM('Loans to Cash Flows Wkst'!$H59:$K59,'Loans to Cash Flows Wkst'!$N59:$Q59)</f>
        <v>0</v>
      </c>
      <c r="G59" s="880" t="s">
        <v>11</v>
      </c>
      <c r="H59" s="872">
        <f>SUMIFS('Loan Entry'!$V$71:$V$74,'Loan Entry'!$D$71:$D$74,$C$51,'Loan Entry'!$AB$71:$AB$74,$C42,'Loan Entry'!$M$71:$M$74,'Loans to Cash Flows Wkst'!N$2)</f>
        <v>0</v>
      </c>
      <c r="I59" s="765">
        <f>SUMIFS('Loan Entry'!$V$71:$V$74,'Loan Entry'!$D$71:$D$74,$C$51,'Loan Entry'!$AB$71:$AB$74,"*Aug*",'Loan Entry'!$M$71:$M$74,'Loans to Cash Flows Wkst'!O$2)</f>
        <v>0</v>
      </c>
      <c r="J59" s="765">
        <f>SUMIFS('Loan Entry'!$V$71:$V$74,'Loan Entry'!$D$71:$D$74,$C$51,'Loan Entry'!$AB$71:$AB$74,"*Aug*",'Loan Entry'!$M$71:$M$74,'Loans to Cash Flows Wkst'!P$2)</f>
        <v>0</v>
      </c>
      <c r="K59" s="765">
        <f>SUMIFS('Loan Entry'!$V$71:$V$74,'Loan Entry'!$D$71:$D$74,$C$51,'Loan Entry'!$AB$71:$AB$74,"*Aug*",'Loan Entry'!$M$71:$M$74,'Loans to Cash Flows Wkst'!Q$2)</f>
        <v>0</v>
      </c>
      <c r="M59" s="852" t="s">
        <v>11</v>
      </c>
      <c r="N59" s="765">
        <f>SUMIFS('Loan Entry'!$W$71:$W$74,'Loan Entry'!$D$71:$D$74,$C$51,'Loan Entry'!$AB$71:$AB$74,$C59,'Loan Entry'!$M$71:$M$74,'Loans to Cash Flows Wkst'!N$2)</f>
        <v>0</v>
      </c>
      <c r="O59" s="765">
        <f>SUMIFS('Loan Entry'!$W$71:$W$74,'Loan Entry'!$D$71:$D$74,$C$51,'Loan Entry'!$AB$71:$AB$74,"*Aug*",'Loan Entry'!$M$71:$M$74,'Loans to Cash Flows Wkst'!O$2)</f>
        <v>0</v>
      </c>
      <c r="P59" s="765">
        <f>SUMIFS('Loan Entry'!$W$71:$W$74,'Loan Entry'!$D$71:$D$74,$C$51,'Loan Entry'!$AB$71:$AB$74,"*Aug*",'Loan Entry'!$M$71:$M$74,'Loans to Cash Flows Wkst'!P$2)</f>
        <v>0</v>
      </c>
      <c r="Q59" s="765">
        <f>SUMIFS('Loan Entry'!$W$71:$W$74,'Loan Entry'!$D$71:$D$74,$C$51,'Loan Entry'!$AB$71:$AB$74,"*Aug*",'Loan Entry'!$M$71:$M$74,'Loans to Cash Flows Wkst'!Q$2)</f>
        <v>0</v>
      </c>
    </row>
    <row r="60" spans="2:17" ht="13.5" thickBot="1" x14ac:dyDescent="0.25">
      <c r="B60" s="855" t="s">
        <v>193</v>
      </c>
      <c r="C60" s="873" t="s">
        <v>12</v>
      </c>
      <c r="D60" s="874">
        <f>SUM('Loans to Cash Flows Wkst'!$H60:$K60,'Loans to Cash Flows Wkst'!$N60:$Q60)</f>
        <v>0</v>
      </c>
      <c r="G60" s="879" t="s">
        <v>12</v>
      </c>
      <c r="H60" s="874">
        <f>SUMIFS('Loan Entry'!$V$71:$V$74,'Loan Entry'!$D$71:$D$74,$C$51,'Loan Entry'!$AB$71:$AB$74,$C43,'Loan Entry'!$M$71:$M$74,'Loans to Cash Flows Wkst'!N$2)</f>
        <v>0</v>
      </c>
      <c r="I60" s="764">
        <f>SUMIFS('Loan Entry'!$V$71:$V$74,'Loan Entry'!$D$71:$D$74,$C$51,'Loan Entry'!$AB$71:$AB$74,"*Sep*",'Loan Entry'!$M$71:$M$74,'Loans to Cash Flows Wkst'!O$2)</f>
        <v>0</v>
      </c>
      <c r="J60" s="764">
        <f>SUMIFS('Loan Entry'!$V$71:$V$74,'Loan Entry'!$D$71:$D$74,$C$51,'Loan Entry'!$AB$71:$AB$74,"*Sep*",'Loan Entry'!$M$71:$M$74,'Loans to Cash Flows Wkst'!P$2)</f>
        <v>0</v>
      </c>
      <c r="K60" s="764">
        <f>SUMIFS('Loan Entry'!$V$71:$V$74,'Loan Entry'!$D$71:$D$74,$C$51,'Loan Entry'!$AB$71:$AB$74,"*Sep*",'Loan Entry'!$M$71:$M$74,'Loans to Cash Flows Wkst'!Q$2)</f>
        <v>0</v>
      </c>
      <c r="M60" s="855" t="s">
        <v>12</v>
      </c>
      <c r="N60" s="764">
        <f>SUMIFS('Loan Entry'!$W$71:$W$74,'Loan Entry'!$D$71:$D$74,$C$51,'Loan Entry'!$AB$71:$AB$74,$C60,'Loan Entry'!$M$71:$M$74,'Loans to Cash Flows Wkst'!N$2)</f>
        <v>0</v>
      </c>
      <c r="O60" s="764">
        <f>SUMIFS('Loan Entry'!$W$71:$W$74,'Loan Entry'!$D$71:$D$74,$C$51,'Loan Entry'!$AB$71:$AB$74,"*Sep*",'Loan Entry'!$M$71:$M$74,'Loans to Cash Flows Wkst'!O$2)</f>
        <v>0</v>
      </c>
      <c r="P60" s="764">
        <f>SUMIFS('Loan Entry'!$W$71:$W$74,'Loan Entry'!$D$71:$D$74,$C$51,'Loan Entry'!$AB$71:$AB$74,"*Sep*",'Loan Entry'!$M$71:$M$74,'Loans to Cash Flows Wkst'!P$2)</f>
        <v>0</v>
      </c>
      <c r="Q60" s="764">
        <f>SUMIFS('Loan Entry'!$W$71:$W$74,'Loan Entry'!$D$71:$D$74,$C$51,'Loan Entry'!$AB$71:$AB$74,"*Sep*",'Loan Entry'!$M$71:$M$74,'Loans to Cash Flows Wkst'!Q$2)</f>
        <v>0</v>
      </c>
    </row>
    <row r="61" spans="2:17" ht="13.5" thickBot="1" x14ac:dyDescent="0.25">
      <c r="B61" s="852" t="s">
        <v>194</v>
      </c>
      <c r="C61" s="875" t="s">
        <v>13</v>
      </c>
      <c r="D61" s="872">
        <f>SUM('Loans to Cash Flows Wkst'!$H61:$K61,'Loans to Cash Flows Wkst'!$N61:$Q61)</f>
        <v>0</v>
      </c>
      <c r="G61" s="880" t="s">
        <v>13</v>
      </c>
      <c r="H61" s="872">
        <f>SUMIFS('Loan Entry'!$V$71:$V$74,'Loan Entry'!$D$71:$D$74,$C$51,'Loan Entry'!$AB$71:$AB$74,$C44,'Loan Entry'!$M$71:$M$74,'Loans to Cash Flows Wkst'!N$2)</f>
        <v>0</v>
      </c>
      <c r="I61" s="765">
        <f>SUMIFS('Loan Entry'!$V$71:$V$74,'Loan Entry'!$D$71:$D$74,$C$51,'Loan Entry'!$AB$71:$AB$74,"*Oct*",'Loan Entry'!$M$71:$M$74,'Loans to Cash Flows Wkst'!O$2)</f>
        <v>0</v>
      </c>
      <c r="J61" s="765">
        <f>SUMIFS('Loan Entry'!$V$71:$V$74,'Loan Entry'!$D$71:$D$74,$C$51,'Loan Entry'!$AB$71:$AB$74,"*Oct*",'Loan Entry'!$M$71:$M$74,'Loans to Cash Flows Wkst'!P$2)</f>
        <v>0</v>
      </c>
      <c r="K61" s="765">
        <f>SUMIFS('Loan Entry'!$V$71:$V$74,'Loan Entry'!$D$71:$D$74,$C$51,'Loan Entry'!$AB$71:$AB$74,"*Oct*",'Loan Entry'!$M$71:$M$74,'Loans to Cash Flows Wkst'!Q$2)</f>
        <v>0</v>
      </c>
      <c r="M61" s="852" t="s">
        <v>13</v>
      </c>
      <c r="N61" s="765">
        <f>SUMIFS('Loan Entry'!$W$71:$W$74,'Loan Entry'!$D$71:$D$74,$C$51,'Loan Entry'!$AB$71:$AB$74,$C61,'Loan Entry'!$M$71:$M$74,'Loans to Cash Flows Wkst'!N$2)</f>
        <v>0</v>
      </c>
      <c r="O61" s="765">
        <f>SUMIFS('Loan Entry'!$W$71:$W$74,'Loan Entry'!$D$71:$D$74,$C$51,'Loan Entry'!$AB$71:$AB$74,"*Oct*",'Loan Entry'!$M$71:$M$74,'Loans to Cash Flows Wkst'!O$2)</f>
        <v>0</v>
      </c>
      <c r="P61" s="765">
        <f>SUMIFS('Loan Entry'!$W$71:$W$74,'Loan Entry'!$D$71:$D$74,$C$51,'Loan Entry'!$AB$71:$AB$74,"*Oct*",'Loan Entry'!$M$71:$M$74,'Loans to Cash Flows Wkst'!P$2)</f>
        <v>0</v>
      </c>
      <c r="Q61" s="765">
        <f>SUMIFS('Loan Entry'!$W$71:$W$74,'Loan Entry'!$D$71:$D$74,$C$51,'Loan Entry'!$AB$71:$AB$74,"*Oct*",'Loan Entry'!$M$71:$M$74,'Loans to Cash Flows Wkst'!Q$2)</f>
        <v>0</v>
      </c>
    </row>
    <row r="62" spans="2:17" ht="13.5" thickBot="1" x14ac:dyDescent="0.25">
      <c r="B62" s="855" t="s">
        <v>195</v>
      </c>
      <c r="C62" s="873" t="s">
        <v>14</v>
      </c>
      <c r="D62" s="874">
        <f>SUM('Loans to Cash Flows Wkst'!$H62:$K62,'Loans to Cash Flows Wkst'!$N62:$Q62)</f>
        <v>0</v>
      </c>
      <c r="G62" s="879" t="s">
        <v>14</v>
      </c>
      <c r="H62" s="874">
        <f>SUMIFS('Loan Entry'!$V$71:$V$74,'Loan Entry'!$D$71:$D$74,$C$51,'Loan Entry'!$AB$71:$AB$74,$C45,'Loan Entry'!$M$71:$M$74,'Loans to Cash Flows Wkst'!N$2)</f>
        <v>0</v>
      </c>
      <c r="I62" s="764">
        <f>SUMIFS('Loan Entry'!$V$71:$V$74,'Loan Entry'!$D$71:$D$74,$C$51,'Loan Entry'!$AB$71:$AB$74,"*Nov*",'Loan Entry'!$M$71:$M$74,'Loans to Cash Flows Wkst'!O$2)</f>
        <v>0</v>
      </c>
      <c r="J62" s="764">
        <f>SUMIFS('Loan Entry'!$V$71:$V$74,'Loan Entry'!$D$71:$D$74,$C$51,'Loan Entry'!$AB$71:$AB$74,"*Nov*",'Loan Entry'!$M$71:$M$74,'Loans to Cash Flows Wkst'!P$2)</f>
        <v>0</v>
      </c>
      <c r="K62" s="764">
        <f>SUMIFS('Loan Entry'!$V$71:$V$74,'Loan Entry'!$D$71:$D$74,$C$51,'Loan Entry'!$AB$71:$AB$74,"*Nov*",'Loan Entry'!$M$71:$M$74,'Loans to Cash Flows Wkst'!Q$2)</f>
        <v>0</v>
      </c>
      <c r="M62" s="855" t="s">
        <v>14</v>
      </c>
      <c r="N62" s="764">
        <f>SUMIFS('Loan Entry'!$W$71:$W$74,'Loan Entry'!$D$71:$D$74,$C$51,'Loan Entry'!$AB$71:$AB$74,$C62,'Loan Entry'!$M$71:$M$74,'Loans to Cash Flows Wkst'!N$2)</f>
        <v>0</v>
      </c>
      <c r="O62" s="764">
        <f>SUMIFS('Loan Entry'!$W$71:$W$74,'Loan Entry'!$D$71:$D$74,$C$51,'Loan Entry'!$AB$71:$AB$74,"*Nov*",'Loan Entry'!$M$71:$M$74,'Loans to Cash Flows Wkst'!O$2)</f>
        <v>0</v>
      </c>
      <c r="P62" s="764">
        <f>SUMIFS('Loan Entry'!$W$71:$W$74,'Loan Entry'!$D$71:$D$74,$C$51,'Loan Entry'!$AB$71:$AB$74,"*Nov*",'Loan Entry'!$M$71:$M$74,'Loans to Cash Flows Wkst'!P$2)</f>
        <v>0</v>
      </c>
      <c r="Q62" s="764">
        <f>SUMIFS('Loan Entry'!$W$71:$W$74,'Loan Entry'!$D$71:$D$74,$C$51,'Loan Entry'!$AB$71:$AB$74,"*Nov*",'Loan Entry'!$M$71:$M$74,'Loans to Cash Flows Wkst'!Q$2)</f>
        <v>0</v>
      </c>
    </row>
    <row r="63" spans="2:17" ht="13.5" thickBot="1" x14ac:dyDescent="0.25">
      <c r="B63" s="852" t="s">
        <v>196</v>
      </c>
      <c r="C63" s="875" t="s">
        <v>15</v>
      </c>
      <c r="D63" s="876">
        <f>SUM('Loans to Cash Flows Wkst'!$H63:$K63,'Loans to Cash Flows Wkst'!$N63:$Q63)</f>
        <v>0</v>
      </c>
      <c r="G63" s="880" t="s">
        <v>15</v>
      </c>
      <c r="H63" s="876">
        <f>SUMIFS('Loan Entry'!$V$71:$V$74,'Loan Entry'!$D$71:$D$74,$C$51,'Loan Entry'!$AB$71:$AB$74,$C46,'Loan Entry'!$M$71:$M$74,'Loans to Cash Flows Wkst'!N$2)</f>
        <v>0</v>
      </c>
      <c r="I63" s="765">
        <f>SUMIFS('Loan Entry'!$V$71:$V$74,'Loan Entry'!$D$71:$D$74,$C$51,'Loan Entry'!$AB$71:$AB$74,"*Dec*",'Loan Entry'!$M$71:$M$74,'Loans to Cash Flows Wkst'!O$2)</f>
        <v>0</v>
      </c>
      <c r="J63" s="765">
        <f>SUMIFS('Loan Entry'!$V$71:$V$74,'Loan Entry'!$D$71:$D$74,$C$51,'Loan Entry'!$AB$71:$AB$74,"*Dec*",'Loan Entry'!$M$71:$M$74,'Loans to Cash Flows Wkst'!P$2)</f>
        <v>0</v>
      </c>
      <c r="K63" s="765">
        <f>SUMIFS('Loan Entry'!$V$71:$V$74,'Loan Entry'!$D$71:$D$74,$C$51,'Loan Entry'!$AB$71:$AB$74,"*Dec*",'Loan Entry'!$M$71:$M$74,'Loans to Cash Flows Wkst'!Q$2)</f>
        <v>0</v>
      </c>
      <c r="M63" s="852" t="s">
        <v>15</v>
      </c>
      <c r="N63" s="765">
        <f>SUMIFS('Loan Entry'!$W$71:$W$74,'Loan Entry'!$D$71:$D$74,$C$51,'Loan Entry'!$AB$71:$AB$74,$C63,'Loan Entry'!$M$71:$M$74,'Loans to Cash Flows Wkst'!N$2)</f>
        <v>0</v>
      </c>
      <c r="O63" s="765">
        <f>SUMIFS('Loan Entry'!$W$71:$W$74,'Loan Entry'!$D$71:$D$74,$C$51,'Loan Entry'!$AB$71:$AB$74,"*Dec*",'Loan Entry'!$M$71:$M$74,'Loans to Cash Flows Wkst'!O$2)</f>
        <v>0</v>
      </c>
      <c r="P63" s="765">
        <f>SUMIFS('Loan Entry'!$W$71:$W$74,'Loan Entry'!$D$71:$D$74,$C$51,'Loan Entry'!$AB$71:$AB$74,"*Dec*",'Loan Entry'!$M$71:$M$74,'Loans to Cash Flows Wkst'!P$2)</f>
        <v>0</v>
      </c>
      <c r="Q63" s="765">
        <f>SUMIFS('Loan Entry'!$W$71:$W$74,'Loan Entry'!$D$71:$D$74,$C$51,'Loan Entry'!$AB$71:$AB$74,"*Dec*",'Loan Entry'!$M$71:$M$74,'Loans to Cash Flows Wkst'!Q$2)</f>
        <v>0</v>
      </c>
    </row>
    <row r="64" spans="2:17" ht="13.5" thickTop="1" x14ac:dyDescent="0.2">
      <c r="B64" s="859"/>
      <c r="C64" s="877"/>
      <c r="D64" s="861">
        <f>SUM('Loans to Cash Flows Wkst'!$D$52:$D$63)</f>
        <v>0</v>
      </c>
      <c r="G64" s="864"/>
      <c r="H64" s="847">
        <f>SUM('Loans to Cash Flows Wkst'!$H$52:$H$63)</f>
        <v>0</v>
      </c>
      <c r="I64" s="847">
        <f>SUM('Loans to Cash Flows Wkst'!$I$52:$I$63)</f>
        <v>0</v>
      </c>
      <c r="J64" s="847">
        <f>SUM('Loans to Cash Flows Wkst'!$J$52:$J$63)</f>
        <v>0</v>
      </c>
      <c r="K64" s="847">
        <f>SUM('Loans to Cash Flows Wkst'!$K$52:$K$63)</f>
        <v>0</v>
      </c>
      <c r="M64" s="864"/>
      <c r="N64" s="847">
        <f>SUM('Loans to Cash Flows Wkst'!$N$52:$N$63)</f>
        <v>0</v>
      </c>
      <c r="O64" s="847">
        <f>SUM('Loans to Cash Flows Wkst'!$O$52:$O$63)</f>
        <v>0</v>
      </c>
      <c r="P64" s="847">
        <f>SUM('Loans to Cash Flows Wkst'!$P$52:$P$63)</f>
        <v>0</v>
      </c>
      <c r="Q64" s="847">
        <f>SUM('Loans to Cash Flows Wkst'!$Q$52:$Q$63)</f>
        <v>0</v>
      </c>
    </row>
    <row r="67" spans="1:11" x14ac:dyDescent="0.2">
      <c r="A67" s="57" t="s">
        <v>211</v>
      </c>
    </row>
    <row r="68" spans="1:11" ht="13.5" thickBot="1" x14ac:dyDescent="0.25">
      <c r="B68" s="438" t="s">
        <v>126</v>
      </c>
      <c r="C68" s="439" t="s">
        <v>421</v>
      </c>
      <c r="D68" s="439" t="s">
        <v>179</v>
      </c>
      <c r="E68" s="439" t="s">
        <v>180</v>
      </c>
      <c r="G68" s="438" t="s">
        <v>200</v>
      </c>
      <c r="H68" s="439" t="s">
        <v>181</v>
      </c>
      <c r="I68" s="57"/>
      <c r="J68" s="438" t="s">
        <v>200</v>
      </c>
      <c r="K68" s="439" t="s">
        <v>181</v>
      </c>
    </row>
    <row r="69" spans="1:11" ht="13.5" thickTop="1" x14ac:dyDescent="0.2">
      <c r="B69" s="849" t="s">
        <v>186</v>
      </c>
      <c r="C69" s="850" t="s">
        <v>5</v>
      </c>
      <c r="D69" s="851">
        <f>'Loans to Cash Flows Wkst'!$H69</f>
        <v>0</v>
      </c>
      <c r="E69" s="771">
        <f>'Loans to Cash Flows Wkst'!$K69</f>
        <v>0</v>
      </c>
      <c r="G69" s="862" t="s">
        <v>5</v>
      </c>
      <c r="H69" s="771">
        <f>SUMIFS('Loan Entry'!$AE$5:$AE$10,'Loan Entry'!$D$5:$D$10,$C$2,'Loan Entry'!$AB$5:$AB$10,$C69)</f>
        <v>0</v>
      </c>
      <c r="J69" s="862" t="s">
        <v>5</v>
      </c>
      <c r="K69" s="771">
        <f>SUMIFS('Loan Entry'!$AC$5:$AC$10,'Loan Entry'!$D$5:$D$10,$C$2,'Loan Entry'!$AB$5:$AB$10,$C69)</f>
        <v>0</v>
      </c>
    </row>
    <row r="70" spans="1:11" x14ac:dyDescent="0.2">
      <c r="B70" s="852" t="s">
        <v>187</v>
      </c>
      <c r="C70" s="853" t="s">
        <v>6</v>
      </c>
      <c r="D70" s="854">
        <f>'Loans to Cash Flows Wkst'!$H70</f>
        <v>0</v>
      </c>
      <c r="E70" s="765">
        <f>'Loans to Cash Flows Wkst'!$K70</f>
        <v>0</v>
      </c>
      <c r="G70" s="863" t="s">
        <v>6</v>
      </c>
      <c r="H70" s="765">
        <f>SUMIFS('Loan Entry'!$AE$5:$AE$10,'Loan Entry'!$D$5:$D$10,$C$2,'Loan Entry'!$AB$5:$AB$10,$C70)</f>
        <v>0</v>
      </c>
      <c r="J70" s="863" t="s">
        <v>6</v>
      </c>
      <c r="K70" s="765">
        <f>SUMIFS('Loan Entry'!$AC$5:$AC$10,'Loan Entry'!$D$5:$D$10,$C$2,'Loan Entry'!$AB$5:$AB$10,$C70)</f>
        <v>0</v>
      </c>
    </row>
    <row r="71" spans="1:11" x14ac:dyDescent="0.2">
      <c r="B71" s="855" t="s">
        <v>188</v>
      </c>
      <c r="C71" s="856" t="s">
        <v>7</v>
      </c>
      <c r="D71" s="857">
        <f>'Loans to Cash Flows Wkst'!$H71</f>
        <v>0</v>
      </c>
      <c r="E71" s="764">
        <f>'Loans to Cash Flows Wkst'!$K71</f>
        <v>0</v>
      </c>
      <c r="G71" s="855" t="s">
        <v>7</v>
      </c>
      <c r="H71" s="764">
        <f>SUMIFS('Loan Entry'!$AE$5:$AE$10,'Loan Entry'!$D$5:$D$10,$C$2,'Loan Entry'!$AB$5:$AB$10,$C71)</f>
        <v>0</v>
      </c>
      <c r="J71" s="855" t="s">
        <v>7</v>
      </c>
      <c r="K71" s="764">
        <f>SUMIFS('Loan Entry'!$AC$5:$AC$10,'Loan Entry'!$D$5:$D$10,$C$2,'Loan Entry'!$AB$5:$AB$10,$C71)</f>
        <v>0</v>
      </c>
    </row>
    <row r="72" spans="1:11" x14ac:dyDescent="0.2">
      <c r="B72" s="852" t="s">
        <v>189</v>
      </c>
      <c r="C72" s="858" t="s">
        <v>8</v>
      </c>
      <c r="D72" s="854">
        <f>'Loans to Cash Flows Wkst'!$H72</f>
        <v>0</v>
      </c>
      <c r="E72" s="765">
        <f>'Loans to Cash Flows Wkst'!$K72</f>
        <v>0</v>
      </c>
      <c r="G72" s="852" t="s">
        <v>8</v>
      </c>
      <c r="H72" s="765">
        <f>SUMIFS('Loan Entry'!$AE$5:$AE$10,'Loan Entry'!$D$5:$D$10,$C$2,'Loan Entry'!$AB$5:$AB$10,$C72)</f>
        <v>0</v>
      </c>
      <c r="J72" s="852" t="s">
        <v>8</v>
      </c>
      <c r="K72" s="765">
        <f>SUMIFS('Loan Entry'!$AC$5:$AC$10,'Loan Entry'!$D$5:$D$10,$C$2,'Loan Entry'!$AB$5:$AB$10,$C72)</f>
        <v>0</v>
      </c>
    </row>
    <row r="73" spans="1:11" x14ac:dyDescent="0.2">
      <c r="B73" s="855" t="s">
        <v>4</v>
      </c>
      <c r="C73" s="856" t="s">
        <v>4</v>
      </c>
      <c r="D73" s="857">
        <f>'Loans to Cash Flows Wkst'!$H73</f>
        <v>0</v>
      </c>
      <c r="E73" s="764">
        <f>'Loans to Cash Flows Wkst'!$K73</f>
        <v>0</v>
      </c>
      <c r="G73" s="855" t="s">
        <v>4</v>
      </c>
      <c r="H73" s="764">
        <f>SUMIFS('Loan Entry'!$AE$5:$AE$10,'Loan Entry'!$D$5:$D$10,$C$2,'Loan Entry'!$AB$5:$AB$10,$C73)</f>
        <v>0</v>
      </c>
      <c r="J73" s="855" t="s">
        <v>4</v>
      </c>
      <c r="K73" s="764">
        <f>SUMIFS('Loan Entry'!$AC$5:$AC$10,'Loan Entry'!$D$5:$D$10,$C$2,'Loan Entry'!$AB$5:$AB$10,$C73)</f>
        <v>0</v>
      </c>
    </row>
    <row r="74" spans="1:11" x14ac:dyDescent="0.2">
      <c r="B74" s="852" t="s">
        <v>190</v>
      </c>
      <c r="C74" s="858" t="s">
        <v>9</v>
      </c>
      <c r="D74" s="854">
        <f>'Loans to Cash Flows Wkst'!$H74</f>
        <v>0</v>
      </c>
      <c r="E74" s="765">
        <f>'Loans to Cash Flows Wkst'!$K74</f>
        <v>0</v>
      </c>
      <c r="G74" s="852" t="s">
        <v>9</v>
      </c>
      <c r="H74" s="765">
        <f>SUMIFS('Loan Entry'!$AE$5:$AE$10,'Loan Entry'!$D$5:$D$10,$C$2,'Loan Entry'!$AB$5:$AB$10,$C74)</f>
        <v>0</v>
      </c>
      <c r="J74" s="852" t="s">
        <v>9</v>
      </c>
      <c r="K74" s="765">
        <f>SUMIFS('Loan Entry'!$AC$5:$AC$10,'Loan Entry'!$D$5:$D$10,$C$2,'Loan Entry'!$AB$5:$AB$10,$C74)</f>
        <v>0</v>
      </c>
    </row>
    <row r="75" spans="1:11" x14ac:dyDescent="0.2">
      <c r="B75" s="855" t="s">
        <v>191</v>
      </c>
      <c r="C75" s="856" t="s">
        <v>10</v>
      </c>
      <c r="D75" s="857">
        <f>'Loans to Cash Flows Wkst'!$H75</f>
        <v>0</v>
      </c>
      <c r="E75" s="764">
        <f>'Loans to Cash Flows Wkst'!$K75</f>
        <v>0</v>
      </c>
      <c r="G75" s="855" t="s">
        <v>10</v>
      </c>
      <c r="H75" s="764">
        <f>SUMIFS('Loan Entry'!$AE$5:$AE$10,'Loan Entry'!$D$5:$D$10,$C$2,'Loan Entry'!$AB$5:$AB$10,$C75)</f>
        <v>0</v>
      </c>
      <c r="J75" s="855" t="s">
        <v>10</v>
      </c>
      <c r="K75" s="764">
        <f>SUMIFS('Loan Entry'!$AC$5:$AC$10,'Loan Entry'!$D$5:$D$10,$C$2,'Loan Entry'!$AB$5:$AB$10,$C75)</f>
        <v>0</v>
      </c>
    </row>
    <row r="76" spans="1:11" x14ac:dyDescent="0.2">
      <c r="B76" s="852" t="s">
        <v>192</v>
      </c>
      <c r="C76" s="858" t="s">
        <v>11</v>
      </c>
      <c r="D76" s="854">
        <f>'Loans to Cash Flows Wkst'!$H76</f>
        <v>0</v>
      </c>
      <c r="E76" s="765">
        <f>'Loans to Cash Flows Wkst'!$K76</f>
        <v>0</v>
      </c>
      <c r="G76" s="852" t="s">
        <v>11</v>
      </c>
      <c r="H76" s="765">
        <f>SUMIFS('Loan Entry'!$AE$5:$AE$10,'Loan Entry'!$D$5:$D$10,$C$2,'Loan Entry'!$AB$5:$AB$10,$C76)</f>
        <v>0</v>
      </c>
      <c r="J76" s="852" t="s">
        <v>11</v>
      </c>
      <c r="K76" s="765">
        <f>SUMIFS('Loan Entry'!$AC$5:$AC$10,'Loan Entry'!$D$5:$D$10,$C$2,'Loan Entry'!$AB$5:$AB$10,$C76)</f>
        <v>0</v>
      </c>
    </row>
    <row r="77" spans="1:11" x14ac:dyDescent="0.2">
      <c r="B77" s="855" t="s">
        <v>193</v>
      </c>
      <c r="C77" s="856" t="s">
        <v>12</v>
      </c>
      <c r="D77" s="857">
        <f>'Loans to Cash Flows Wkst'!$H77</f>
        <v>0</v>
      </c>
      <c r="E77" s="764">
        <f>'Loans to Cash Flows Wkst'!$K77</f>
        <v>0</v>
      </c>
      <c r="G77" s="855" t="s">
        <v>12</v>
      </c>
      <c r="H77" s="764">
        <f>SUMIFS('Loan Entry'!$AE$5:$AE$10,'Loan Entry'!$D$5:$D$10,$C$2,'Loan Entry'!$AB$5:$AB$10,$C77)</f>
        <v>0</v>
      </c>
      <c r="J77" s="855" t="s">
        <v>12</v>
      </c>
      <c r="K77" s="764">
        <f>SUMIFS('Loan Entry'!$AC$5:$AC$10,'Loan Entry'!$D$5:$D$10,$C$2,'Loan Entry'!$AB$5:$AB$10,$C77)</f>
        <v>0</v>
      </c>
    </row>
    <row r="78" spans="1:11" x14ac:dyDescent="0.2">
      <c r="B78" s="852" t="s">
        <v>194</v>
      </c>
      <c r="C78" s="858" t="s">
        <v>13</v>
      </c>
      <c r="D78" s="854">
        <f>'Loans to Cash Flows Wkst'!$H78</f>
        <v>0</v>
      </c>
      <c r="E78" s="765">
        <f>'Loans to Cash Flows Wkst'!$K78</f>
        <v>0</v>
      </c>
      <c r="G78" s="852" t="s">
        <v>13</v>
      </c>
      <c r="H78" s="765">
        <f>SUMIFS('Loan Entry'!$AE$5:$AE$10,'Loan Entry'!$D$5:$D$10,$C$2,'Loan Entry'!$AB$5:$AB$10,$C78)</f>
        <v>0</v>
      </c>
      <c r="J78" s="852" t="s">
        <v>13</v>
      </c>
      <c r="K78" s="765">
        <f>SUMIFS('Loan Entry'!$AC$5:$AC$10,'Loan Entry'!$D$5:$D$10,$C$2,'Loan Entry'!$AB$5:$AB$10,$C78)</f>
        <v>0</v>
      </c>
    </row>
    <row r="79" spans="1:11" x14ac:dyDescent="0.2">
      <c r="B79" s="855" t="s">
        <v>195</v>
      </c>
      <c r="C79" s="856" t="s">
        <v>14</v>
      </c>
      <c r="D79" s="857">
        <f>'Loans to Cash Flows Wkst'!$H79</f>
        <v>0</v>
      </c>
      <c r="E79" s="764">
        <f>'Loans to Cash Flows Wkst'!$K79</f>
        <v>0</v>
      </c>
      <c r="G79" s="855" t="s">
        <v>14</v>
      </c>
      <c r="H79" s="764">
        <f>SUMIFS('Loan Entry'!$AE$5:$AE$10,'Loan Entry'!$D$5:$D$10,$C$2,'Loan Entry'!$AB$5:$AB$10,$C79)</f>
        <v>0</v>
      </c>
      <c r="J79" s="855" t="s">
        <v>14</v>
      </c>
      <c r="K79" s="764">
        <f>SUMIFS('Loan Entry'!$AC$5:$AC$10,'Loan Entry'!$D$5:$D$10,$C$2,'Loan Entry'!$AB$5:$AB$10,$C79)</f>
        <v>0</v>
      </c>
    </row>
    <row r="80" spans="1:11" ht="13.5" thickBot="1" x14ac:dyDescent="0.25">
      <c r="B80" s="852" t="s">
        <v>196</v>
      </c>
      <c r="C80" s="858" t="s">
        <v>15</v>
      </c>
      <c r="D80" s="854">
        <f>'Loans to Cash Flows Wkst'!$H80</f>
        <v>0</v>
      </c>
      <c r="E80" s="765">
        <f>'Loans to Cash Flows Wkst'!$K80</f>
        <v>0</v>
      </c>
      <c r="G80" s="852" t="s">
        <v>15</v>
      </c>
      <c r="H80" s="765">
        <f>SUMIFS('Loan Entry'!$AE$5:$AE$10,'Loan Entry'!$D$5:$D$10,$C$2,'Loan Entry'!$AB$5:$AB$10,$C80)</f>
        <v>0</v>
      </c>
      <c r="J80" s="852" t="s">
        <v>15</v>
      </c>
      <c r="K80" s="765">
        <f>SUMIFS('Loan Entry'!$AC$5:$AC$10,'Loan Entry'!$D$5:$D$10,$C$2,'Loan Entry'!$AB$5:$AB$10,$C80)</f>
        <v>0</v>
      </c>
    </row>
    <row r="81" spans="2:11" ht="13.5" thickTop="1" x14ac:dyDescent="0.2">
      <c r="B81" s="859"/>
      <c r="C81" s="860"/>
      <c r="D81" s="861">
        <f>SUM('Loans to Cash Flows Wkst'!$D$69:$D$80)</f>
        <v>0</v>
      </c>
      <c r="E81" s="847">
        <f>SUM('Loans to Cash Flows Wkst'!$E$69:$E$80)</f>
        <v>0</v>
      </c>
      <c r="G81" s="864"/>
      <c r="H81" s="848">
        <f>SUM('Loans to Cash Flows Wkst'!$H$69:$H$80)</f>
        <v>0</v>
      </c>
      <c r="J81" s="864"/>
      <c r="K81" s="848">
        <f>SUM('Loans to Cash Flows Wkst'!$K$69:$K$80)</f>
        <v>0</v>
      </c>
    </row>
    <row r="84" spans="2:11" ht="13.5" thickBot="1" x14ac:dyDescent="0.25">
      <c r="B84" s="438" t="s">
        <v>126</v>
      </c>
      <c r="C84" s="439" t="s">
        <v>177</v>
      </c>
      <c r="D84" s="439" t="s">
        <v>179</v>
      </c>
      <c r="E84" s="439" t="s">
        <v>180</v>
      </c>
      <c r="G84" s="438" t="s">
        <v>200</v>
      </c>
      <c r="H84" s="439" t="s">
        <v>181</v>
      </c>
      <c r="I84" s="57"/>
      <c r="J84" s="438" t="s">
        <v>200</v>
      </c>
      <c r="K84" s="439" t="s">
        <v>181</v>
      </c>
    </row>
    <row r="85" spans="2:11" ht="13.5" thickTop="1" x14ac:dyDescent="0.2">
      <c r="B85" s="849" t="s">
        <v>186</v>
      </c>
      <c r="C85" s="850" t="s">
        <v>5</v>
      </c>
      <c r="D85" s="771">
        <f>'Loans to Cash Flows Wkst'!$H85</f>
        <v>0</v>
      </c>
      <c r="E85" s="771">
        <f>'Loans to Cash Flows Wkst'!$K85</f>
        <v>0</v>
      </c>
      <c r="G85" s="862" t="s">
        <v>5</v>
      </c>
      <c r="H85" s="771">
        <f>SUMIFS('Loan Entry'!$AE$5:$AE$10,'Loan Entry'!$D$5:$D$10,$C$18,'Loan Entry'!$AB$5:$AB$10,$C85)</f>
        <v>0</v>
      </c>
      <c r="J85" s="862" t="s">
        <v>5</v>
      </c>
      <c r="K85" s="771">
        <f>SUMIFS('Loan Entry'!$AC$5:$AC$10,'Loan Entry'!$D$5:$D$10,$C$18,'Loan Entry'!$AB$5:$AB$10,$C85)</f>
        <v>0</v>
      </c>
    </row>
    <row r="86" spans="2:11" x14ac:dyDescent="0.2">
      <c r="B86" s="852" t="s">
        <v>187</v>
      </c>
      <c r="C86" s="853" t="s">
        <v>6</v>
      </c>
      <c r="D86" s="765">
        <f>'Loans to Cash Flows Wkst'!$H86</f>
        <v>0</v>
      </c>
      <c r="E86" s="765">
        <f>'Loans to Cash Flows Wkst'!$K86</f>
        <v>0</v>
      </c>
      <c r="G86" s="863" t="s">
        <v>6</v>
      </c>
      <c r="H86" s="765">
        <f>SUMIFS('Loan Entry'!$AE$5:$AE$10,'Loan Entry'!$D$5:$D$10,$C$18,'Loan Entry'!$AB$5:$AB$10,$C86)</f>
        <v>0</v>
      </c>
      <c r="J86" s="863" t="s">
        <v>6</v>
      </c>
      <c r="K86" s="765">
        <f>SUMIFS('Loan Entry'!$AC$5:$AC$10,'Loan Entry'!$D$5:$D$10,$C$18,'Loan Entry'!$AB$5:$AB$10,$C86)</f>
        <v>0</v>
      </c>
    </row>
    <row r="87" spans="2:11" x14ac:dyDescent="0.2">
      <c r="B87" s="855" t="s">
        <v>188</v>
      </c>
      <c r="C87" s="856" t="s">
        <v>7</v>
      </c>
      <c r="D87" s="764">
        <f>'Loans to Cash Flows Wkst'!$H87</f>
        <v>0</v>
      </c>
      <c r="E87" s="764">
        <f>'Loans to Cash Flows Wkst'!$K87</f>
        <v>0</v>
      </c>
      <c r="G87" s="855" t="s">
        <v>7</v>
      </c>
      <c r="H87" s="764">
        <f>SUMIFS('Loan Entry'!$AE$5:$AE$10,'Loan Entry'!$D$5:$D$10,$C$18,'Loan Entry'!$AB$5:$AB$10,$C87)</f>
        <v>0</v>
      </c>
      <c r="J87" s="855" t="s">
        <v>7</v>
      </c>
      <c r="K87" s="764">
        <f>SUMIFS('Loan Entry'!$AC$5:$AC$10,'Loan Entry'!$D$5:$D$10,$C$18,'Loan Entry'!$AB$5:$AB$10,$C87)</f>
        <v>0</v>
      </c>
    </row>
    <row r="88" spans="2:11" x14ac:dyDescent="0.2">
      <c r="B88" s="852" t="s">
        <v>189</v>
      </c>
      <c r="C88" s="858" t="s">
        <v>8</v>
      </c>
      <c r="D88" s="765">
        <f>'Loans to Cash Flows Wkst'!$H88</f>
        <v>0</v>
      </c>
      <c r="E88" s="765">
        <f>'Loans to Cash Flows Wkst'!$K88</f>
        <v>0</v>
      </c>
      <c r="G88" s="852" t="s">
        <v>8</v>
      </c>
      <c r="H88" s="765">
        <f>SUMIFS('Loan Entry'!$AE$5:$AE$10,'Loan Entry'!$D$5:$D$10,$C$18,'Loan Entry'!$AB$5:$AB$10,$C88)</f>
        <v>0</v>
      </c>
      <c r="J88" s="852" t="s">
        <v>8</v>
      </c>
      <c r="K88" s="765">
        <f>SUMIFS('Loan Entry'!$AC$5:$AC$10,'Loan Entry'!$D$5:$D$10,$C$18,'Loan Entry'!$AB$5:$AB$10,$C88)</f>
        <v>0</v>
      </c>
    </row>
    <row r="89" spans="2:11" x14ac:dyDescent="0.2">
      <c r="B89" s="855" t="s">
        <v>4</v>
      </c>
      <c r="C89" s="856" t="s">
        <v>4</v>
      </c>
      <c r="D89" s="764">
        <f>'Loans to Cash Flows Wkst'!$H89</f>
        <v>0</v>
      </c>
      <c r="E89" s="764">
        <f>'Loans to Cash Flows Wkst'!$K89</f>
        <v>0</v>
      </c>
      <c r="G89" s="855" t="s">
        <v>4</v>
      </c>
      <c r="H89" s="764">
        <f>SUMIFS('Loan Entry'!$AE$5:$AE$10,'Loan Entry'!$D$5:$D$10,$C$18,'Loan Entry'!$AB$5:$AB$10,$C89)</f>
        <v>0</v>
      </c>
      <c r="J89" s="855" t="s">
        <v>4</v>
      </c>
      <c r="K89" s="764">
        <f>SUMIFS('Loan Entry'!$AC$5:$AC$10,'Loan Entry'!$D$5:$D$10,$C$18,'Loan Entry'!$AB$5:$AB$10,$C89)</f>
        <v>0</v>
      </c>
    </row>
    <row r="90" spans="2:11" x14ac:dyDescent="0.2">
      <c r="B90" s="852" t="s">
        <v>190</v>
      </c>
      <c r="C90" s="858" t="s">
        <v>9</v>
      </c>
      <c r="D90" s="765">
        <f>'Loans to Cash Flows Wkst'!$H90</f>
        <v>0</v>
      </c>
      <c r="E90" s="765">
        <f>'Loans to Cash Flows Wkst'!$K90</f>
        <v>0</v>
      </c>
      <c r="G90" s="852" t="s">
        <v>9</v>
      </c>
      <c r="H90" s="765">
        <f>SUMIFS('Loan Entry'!$AE$5:$AE$10,'Loan Entry'!$D$5:$D$10,$C$18,'Loan Entry'!$AB$5:$AB$10,$C90)</f>
        <v>0</v>
      </c>
      <c r="J90" s="852" t="s">
        <v>9</v>
      </c>
      <c r="K90" s="765">
        <f>SUMIFS('Loan Entry'!$AC$5:$AC$10,'Loan Entry'!$D$5:$D$10,$C$18,'Loan Entry'!$AB$5:$AB$10,$C90)</f>
        <v>0</v>
      </c>
    </row>
    <row r="91" spans="2:11" x14ac:dyDescent="0.2">
      <c r="B91" s="855" t="s">
        <v>191</v>
      </c>
      <c r="C91" s="856" t="s">
        <v>10</v>
      </c>
      <c r="D91" s="764">
        <f>'Loans to Cash Flows Wkst'!$H91</f>
        <v>0</v>
      </c>
      <c r="E91" s="764">
        <f>'Loans to Cash Flows Wkst'!$K91</f>
        <v>0</v>
      </c>
      <c r="G91" s="855" t="s">
        <v>10</v>
      </c>
      <c r="H91" s="764">
        <f>SUMIFS('Loan Entry'!$AE$5:$AE$10,'Loan Entry'!$D$5:$D$10,$C$18,'Loan Entry'!$AB$5:$AB$10,$C91)</f>
        <v>0</v>
      </c>
      <c r="J91" s="855" t="s">
        <v>10</v>
      </c>
      <c r="K91" s="764">
        <f>SUMIFS('Loan Entry'!$AC$5:$AC$10,'Loan Entry'!$D$5:$D$10,$C$18,'Loan Entry'!$AB$5:$AB$10,$C91)</f>
        <v>0</v>
      </c>
    </row>
    <row r="92" spans="2:11" x14ac:dyDescent="0.2">
      <c r="B92" s="852" t="s">
        <v>192</v>
      </c>
      <c r="C92" s="858" t="s">
        <v>11</v>
      </c>
      <c r="D92" s="765">
        <f>'Loans to Cash Flows Wkst'!$H92</f>
        <v>0</v>
      </c>
      <c r="E92" s="765">
        <f>'Loans to Cash Flows Wkst'!$K92</f>
        <v>0</v>
      </c>
      <c r="G92" s="852" t="s">
        <v>11</v>
      </c>
      <c r="H92" s="765">
        <f>SUMIFS('Loan Entry'!$AE$5:$AE$10,'Loan Entry'!$D$5:$D$10,$C$18,'Loan Entry'!$AB$5:$AB$10,$C92)</f>
        <v>0</v>
      </c>
      <c r="J92" s="852" t="s">
        <v>11</v>
      </c>
      <c r="K92" s="765">
        <f>SUMIFS('Loan Entry'!$AC$5:$AC$10,'Loan Entry'!$D$5:$D$10,$C$18,'Loan Entry'!$AB$5:$AB$10,$C92)</f>
        <v>0</v>
      </c>
    </row>
    <row r="93" spans="2:11" x14ac:dyDescent="0.2">
      <c r="B93" s="855" t="s">
        <v>193</v>
      </c>
      <c r="C93" s="856" t="s">
        <v>12</v>
      </c>
      <c r="D93" s="764">
        <f>'Loans to Cash Flows Wkst'!$H93</f>
        <v>0</v>
      </c>
      <c r="E93" s="764">
        <f>'Loans to Cash Flows Wkst'!$K93</f>
        <v>0</v>
      </c>
      <c r="G93" s="855" t="s">
        <v>12</v>
      </c>
      <c r="H93" s="764">
        <f>SUMIFS('Loan Entry'!$AE$5:$AE$10,'Loan Entry'!$D$5:$D$10,$C$18,'Loan Entry'!$AB$5:$AB$10,$C93)</f>
        <v>0</v>
      </c>
      <c r="J93" s="855" t="s">
        <v>12</v>
      </c>
      <c r="K93" s="764">
        <f>SUMIFS('Loan Entry'!$AC$5:$AC$10,'Loan Entry'!$D$5:$D$10,$C$18,'Loan Entry'!$AB$5:$AB$10,$C93)</f>
        <v>0</v>
      </c>
    </row>
    <row r="94" spans="2:11" x14ac:dyDescent="0.2">
      <c r="B94" s="852" t="s">
        <v>194</v>
      </c>
      <c r="C94" s="858" t="s">
        <v>13</v>
      </c>
      <c r="D94" s="765">
        <f>'Loans to Cash Flows Wkst'!$H94</f>
        <v>0</v>
      </c>
      <c r="E94" s="765">
        <f>'Loans to Cash Flows Wkst'!$K94</f>
        <v>0</v>
      </c>
      <c r="G94" s="852" t="s">
        <v>13</v>
      </c>
      <c r="H94" s="765">
        <f>SUMIFS('Loan Entry'!$AE$5:$AE$10,'Loan Entry'!$D$5:$D$10,$C$18,'Loan Entry'!$AB$5:$AB$10,$C94)</f>
        <v>0</v>
      </c>
      <c r="J94" s="852" t="s">
        <v>13</v>
      </c>
      <c r="K94" s="765">
        <f>SUMIFS('Loan Entry'!$AC$5:$AC$10,'Loan Entry'!$D$5:$D$10,$C$18,'Loan Entry'!$AB$5:$AB$10,$C94)</f>
        <v>0</v>
      </c>
    </row>
    <row r="95" spans="2:11" x14ac:dyDescent="0.2">
      <c r="B95" s="855" t="s">
        <v>195</v>
      </c>
      <c r="C95" s="856" t="s">
        <v>14</v>
      </c>
      <c r="D95" s="764">
        <f>'Loans to Cash Flows Wkst'!$H95</f>
        <v>0</v>
      </c>
      <c r="E95" s="764">
        <f>'Loans to Cash Flows Wkst'!$K95</f>
        <v>0</v>
      </c>
      <c r="G95" s="855" t="s">
        <v>14</v>
      </c>
      <c r="H95" s="764">
        <f>SUMIFS('Loan Entry'!$AE$5:$AE$10,'Loan Entry'!$D$5:$D$10,$C$18,'Loan Entry'!$AB$5:$AB$10,$C95)</f>
        <v>0</v>
      </c>
      <c r="J95" s="855" t="s">
        <v>14</v>
      </c>
      <c r="K95" s="764">
        <f>SUMIFS('Loan Entry'!$AC$5:$AC$10,'Loan Entry'!$D$5:$D$10,$C$18,'Loan Entry'!$AB$5:$AB$10,$C95)</f>
        <v>0</v>
      </c>
    </row>
    <row r="96" spans="2:11" ht="13.5" thickBot="1" x14ac:dyDescent="0.25">
      <c r="B96" s="852" t="s">
        <v>196</v>
      </c>
      <c r="C96" s="858" t="s">
        <v>15</v>
      </c>
      <c r="D96" s="765">
        <f>'Loans to Cash Flows Wkst'!$H96</f>
        <v>0</v>
      </c>
      <c r="E96" s="765">
        <f>'Loans to Cash Flows Wkst'!$K96</f>
        <v>0</v>
      </c>
      <c r="G96" s="852" t="s">
        <v>15</v>
      </c>
      <c r="H96" s="765">
        <f>SUMIFS('Loan Entry'!$AE$5:$AE$10,'Loan Entry'!$D$5:$D$10,$C$18,'Loan Entry'!$AB$5:$AB$10,$C96)</f>
        <v>0</v>
      </c>
      <c r="J96" s="852" t="s">
        <v>15</v>
      </c>
      <c r="K96" s="765">
        <f>SUMIFS('Loan Entry'!$AC$5:$AC$10,'Loan Entry'!$D$5:$D$10,$C$18,'Loan Entry'!$AB$5:$AB$10,$C96)</f>
        <v>0</v>
      </c>
    </row>
    <row r="97" spans="2:11" ht="13.5" thickTop="1" x14ac:dyDescent="0.2">
      <c r="B97" s="859"/>
      <c r="C97" s="860"/>
      <c r="D97" s="861">
        <f>SUM('Loans to Cash Flows Wkst'!$D$85:$D$96)</f>
        <v>0</v>
      </c>
      <c r="E97" s="847">
        <f>SUM('Loans to Cash Flows Wkst'!$E$85:$E$96)</f>
        <v>0</v>
      </c>
      <c r="G97" s="864"/>
      <c r="H97" s="847">
        <f>SUM('Loans to Cash Flows Wkst'!$H$85:$H$96)</f>
        <v>0</v>
      </c>
      <c r="J97" s="864"/>
      <c r="K97" s="847">
        <f>SUM('Loans to Cash Flows Wkst'!$K$85:$K$96)</f>
        <v>0</v>
      </c>
    </row>
  </sheetData>
  <sheetProtection algorithmName="SHA-512" hashValue="aDrFjI8CL4b/N/V23dbh4/WoMA8ruOxvUOcBbCwDxh0O1aeGRFJcp3SVfgVTNc23ncpESpUDCD2OsAvJJ98s1Q==" saltValue="/+qt6eRhRMs+nbjuIcLrP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4A89DC"/>
  </sheetPr>
  <dimension ref="A2:T230"/>
  <sheetViews>
    <sheetView showGridLines="0" zoomScaleNormal="100" zoomScaleSheetLayoutView="100" workbookViewId="0">
      <pane xSplit="5" ySplit="7" topLeftCell="F64" activePane="bottomRight" state="frozen"/>
      <selection activeCell="B1" sqref="B1"/>
      <selection pane="topRight" activeCell="F1" sqref="F1"/>
      <selection pane="bottomLeft" activeCell="B8" sqref="B8"/>
      <selection pane="bottomRight" activeCell="F109" sqref="F109"/>
    </sheetView>
  </sheetViews>
  <sheetFormatPr defaultColWidth="10" defaultRowHeight="12.75" x14ac:dyDescent="0.2"/>
  <cols>
    <col min="1" max="1" width="38.85546875" style="3" hidden="1" customWidth="1"/>
    <col min="2" max="2" width="44.28515625" style="3" customWidth="1"/>
    <col min="3" max="3" width="2.28515625" style="3" customWidth="1"/>
    <col min="4" max="5" width="12.85546875" style="3" customWidth="1"/>
    <col min="6" max="7" width="11.28515625" style="224" customWidth="1"/>
    <col min="8" max="17" width="11.28515625" style="8" customWidth="1"/>
    <col min="18" max="18" width="12.85546875" style="3" customWidth="1"/>
    <col min="19" max="16384" width="10" style="3"/>
  </cols>
  <sheetData>
    <row r="2" spans="2:17" ht="12.75" customHeight="1" x14ac:dyDescent="0.2">
      <c r="B2" s="1034" t="s">
        <v>168</v>
      </c>
      <c r="C2" s="1034"/>
      <c r="D2" s="1034"/>
      <c r="E2" s="1034"/>
      <c r="F2" s="1034"/>
      <c r="G2" s="1034"/>
    </row>
    <row r="3" spans="2:17" ht="12.75" customHeight="1" x14ac:dyDescent="0.2">
      <c r="B3" s="1034"/>
      <c r="C3" s="1034"/>
      <c r="D3" s="1034"/>
      <c r="E3" s="1034"/>
      <c r="F3" s="1034"/>
      <c r="G3" s="1034"/>
    </row>
    <row r="4" spans="2:17" ht="15" customHeight="1" x14ac:dyDescent="0.2">
      <c r="B4" s="1035" t="str">
        <f>IF(Name&gt;"",Name,IF(BusName&gt;"",BusName,""))</f>
        <v/>
      </c>
      <c r="C4" s="1035"/>
      <c r="D4" s="1035"/>
      <c r="E4" s="1035"/>
      <c r="F4" s="1035"/>
      <c r="G4" s="1035"/>
    </row>
    <row r="5" spans="2:17" ht="15" customHeight="1" thickBot="1" x14ac:dyDescent="0.25">
      <c r="B5" s="275" t="s">
        <v>128</v>
      </c>
      <c r="C5" s="275"/>
      <c r="D5" s="278">
        <f>Year</f>
        <v>2016</v>
      </c>
      <c r="E5" s="1036">
        <f>Year+1</f>
        <v>2017</v>
      </c>
      <c r="F5" s="1036"/>
      <c r="G5" s="1036"/>
      <c r="H5" s="274"/>
      <c r="I5" s="276"/>
      <c r="J5" s="274"/>
      <c r="K5" s="274"/>
      <c r="L5" s="274"/>
      <c r="M5" s="274"/>
      <c r="N5" s="274"/>
      <c r="O5" s="274"/>
      <c r="P5" s="274"/>
      <c r="Q5" s="274"/>
    </row>
    <row r="6" spans="2:17" ht="15.75" customHeight="1" x14ac:dyDescent="0.2">
      <c r="B6" s="753"/>
      <c r="C6" s="754"/>
      <c r="D6" s="732"/>
      <c r="E6" s="271" t="s">
        <v>16</v>
      </c>
      <c r="F6" s="368" t="s">
        <v>5</v>
      </c>
      <c r="G6" s="379" t="s">
        <v>6</v>
      </c>
      <c r="H6" s="390" t="s">
        <v>7</v>
      </c>
      <c r="I6" s="390" t="s">
        <v>8</v>
      </c>
      <c r="J6" s="390" t="s">
        <v>4</v>
      </c>
      <c r="K6" s="390" t="s">
        <v>9</v>
      </c>
      <c r="L6" s="390" t="s">
        <v>10</v>
      </c>
      <c r="M6" s="390" t="s">
        <v>11</v>
      </c>
      <c r="N6" s="390" t="s">
        <v>12</v>
      </c>
      <c r="O6" s="390" t="s">
        <v>13</v>
      </c>
      <c r="P6" s="390" t="s">
        <v>14</v>
      </c>
      <c r="Q6" s="271" t="s">
        <v>15</v>
      </c>
    </row>
    <row r="7" spans="2:17" ht="3.6" customHeight="1" x14ac:dyDescent="0.2">
      <c r="B7" s="243"/>
      <c r="D7" s="733"/>
      <c r="E7" s="520"/>
      <c r="F7" s="369"/>
      <c r="G7" s="380"/>
      <c r="H7" s="391"/>
      <c r="I7" s="391"/>
      <c r="J7" s="391"/>
      <c r="K7" s="391"/>
      <c r="L7" s="391"/>
      <c r="M7" s="391"/>
      <c r="N7" s="391"/>
      <c r="O7" s="391"/>
      <c r="P7" s="391"/>
      <c r="Q7" s="242"/>
    </row>
    <row r="8" spans="2:17" s="44" customFormat="1" ht="15" x14ac:dyDescent="0.2">
      <c r="B8" s="244" t="s">
        <v>464</v>
      </c>
      <c r="C8" s="277"/>
      <c r="D8" s="734"/>
      <c r="E8" s="542" t="s">
        <v>174</v>
      </c>
      <c r="F8" s="638">
        <f>'Final Balance Sheet'!C8</f>
        <v>0</v>
      </c>
      <c r="G8" s="639">
        <f>CumulativeCashJan</f>
        <v>0</v>
      </c>
      <c r="H8" s="639">
        <f>CumulativeCashFeb</f>
        <v>0</v>
      </c>
      <c r="I8" s="639">
        <f>CumulativeCashMar</f>
        <v>0</v>
      </c>
      <c r="J8" s="639">
        <f>CumulativeCashApr</f>
        <v>0</v>
      </c>
      <c r="K8" s="639">
        <f>CumulativeCashMay</f>
        <v>0</v>
      </c>
      <c r="L8" s="639">
        <f>CumulativeCashJune</f>
        <v>0</v>
      </c>
      <c r="M8" s="639">
        <f>CumulativeCashJuly</f>
        <v>0</v>
      </c>
      <c r="N8" s="639">
        <f>CumulativeCashAug</f>
        <v>0</v>
      </c>
      <c r="O8" s="639">
        <f>CumulativeCashSept</f>
        <v>0</v>
      </c>
      <c r="P8" s="639">
        <f>CumulativeCashOct</f>
        <v>0</v>
      </c>
      <c r="Q8" s="640">
        <f>CumulativeCashNov</f>
        <v>0</v>
      </c>
    </row>
    <row r="9" spans="2:17" x14ac:dyDescent="0.2">
      <c r="B9" s="245" t="s">
        <v>238</v>
      </c>
      <c r="C9" s="5"/>
      <c r="D9" s="735"/>
      <c r="E9" s="543"/>
      <c r="F9" s="370"/>
      <c r="G9" s="381"/>
      <c r="H9" s="392"/>
      <c r="I9" s="392"/>
      <c r="J9" s="392"/>
      <c r="K9" s="392"/>
      <c r="L9" s="392"/>
      <c r="M9" s="392"/>
      <c r="N9" s="392"/>
      <c r="O9" s="392"/>
      <c r="P9" s="392"/>
      <c r="Q9" s="246"/>
    </row>
    <row r="10" spans="2:17" x14ac:dyDescent="0.2">
      <c r="B10" s="247" t="s">
        <v>543</v>
      </c>
      <c r="C10" s="55"/>
      <c r="D10" s="394">
        <v>0</v>
      </c>
      <c r="E10" s="532">
        <f t="shared" ref="E10:E21" si="0">SUM(F10:Q10)</f>
        <v>0</v>
      </c>
      <c r="F10" s="371"/>
      <c r="G10" s="382"/>
      <c r="H10" s="382"/>
      <c r="I10" s="382"/>
      <c r="J10" s="382"/>
      <c r="K10" s="382"/>
      <c r="L10" s="382"/>
      <c r="M10" s="382"/>
      <c r="N10" s="382"/>
      <c r="O10" s="382"/>
      <c r="P10" s="382"/>
      <c r="Q10" s="349"/>
    </row>
    <row r="11" spans="2:17" x14ac:dyDescent="0.2">
      <c r="B11" s="247" t="s">
        <v>544</v>
      </c>
      <c r="C11" s="55"/>
      <c r="D11" s="394"/>
      <c r="E11" s="533">
        <f t="shared" si="0"/>
        <v>0</v>
      </c>
      <c r="F11" s="372"/>
      <c r="G11" s="383"/>
      <c r="H11" s="383"/>
      <c r="I11" s="383"/>
      <c r="J11" s="383"/>
      <c r="K11" s="383"/>
      <c r="L11" s="383"/>
      <c r="M11" s="383"/>
      <c r="N11" s="383"/>
      <c r="O11" s="383"/>
      <c r="P11" s="383"/>
      <c r="Q11" s="350"/>
    </row>
    <row r="12" spans="2:17" x14ac:dyDescent="0.2">
      <c r="B12" s="247" t="s">
        <v>339</v>
      </c>
      <c r="C12" s="55"/>
      <c r="D12" s="394"/>
      <c r="E12" s="533">
        <f>SUM(F12:Q12)</f>
        <v>0</v>
      </c>
      <c r="F12" s="372"/>
      <c r="G12" s="383"/>
      <c r="H12" s="383"/>
      <c r="I12" s="383"/>
      <c r="J12" s="383"/>
      <c r="K12" s="383"/>
      <c r="L12" s="383"/>
      <c r="M12" s="383"/>
      <c r="N12" s="383"/>
      <c r="O12" s="383"/>
      <c r="P12" s="383"/>
      <c r="Q12" s="350"/>
    </row>
    <row r="13" spans="2:17" x14ac:dyDescent="0.2">
      <c r="B13" s="247" t="s">
        <v>545</v>
      </c>
      <c r="C13" s="55"/>
      <c r="D13" s="394"/>
      <c r="E13" s="533">
        <f>SUM(F13:Q13)</f>
        <v>0</v>
      </c>
      <c r="F13" s="372"/>
      <c r="G13" s="383"/>
      <c r="H13" s="383"/>
      <c r="I13" s="383"/>
      <c r="J13" s="383"/>
      <c r="K13" s="383"/>
      <c r="L13" s="383"/>
      <c r="M13" s="383"/>
      <c r="N13" s="383"/>
      <c r="O13" s="383"/>
      <c r="P13" s="383"/>
      <c r="Q13" s="350"/>
    </row>
    <row r="14" spans="2:17" x14ac:dyDescent="0.2">
      <c r="B14" s="247" t="s">
        <v>468</v>
      </c>
      <c r="C14" s="55"/>
      <c r="D14" s="394"/>
      <c r="E14" s="533">
        <f t="shared" si="0"/>
        <v>0</v>
      </c>
      <c r="F14" s="372"/>
      <c r="G14" s="383"/>
      <c r="H14" s="383"/>
      <c r="I14" s="383"/>
      <c r="J14" s="383"/>
      <c r="K14" s="383"/>
      <c r="L14" s="383"/>
      <c r="M14" s="383"/>
      <c r="N14" s="383"/>
      <c r="O14" s="383"/>
      <c r="P14" s="383"/>
      <c r="Q14" s="350"/>
    </row>
    <row r="15" spans="2:17" x14ac:dyDescent="0.2">
      <c r="B15" s="247" t="s">
        <v>297</v>
      </c>
      <c r="C15" s="55"/>
      <c r="D15" s="394"/>
      <c r="E15" s="533">
        <f t="shared" si="0"/>
        <v>0</v>
      </c>
      <c r="F15" s="372"/>
      <c r="G15" s="383"/>
      <c r="H15" s="383"/>
      <c r="I15" s="383"/>
      <c r="J15" s="383"/>
      <c r="K15" s="383"/>
      <c r="L15" s="383"/>
      <c r="M15" s="383"/>
      <c r="N15" s="383"/>
      <c r="O15" s="383"/>
      <c r="P15" s="383"/>
      <c r="Q15" s="350"/>
    </row>
    <row r="16" spans="2:17" x14ac:dyDescent="0.2">
      <c r="B16" s="247" t="s">
        <v>514</v>
      </c>
      <c r="C16" s="55"/>
      <c r="D16" s="394"/>
      <c r="E16" s="533">
        <f t="shared" si="0"/>
        <v>0</v>
      </c>
      <c r="F16" s="372"/>
      <c r="G16" s="383"/>
      <c r="H16" s="383"/>
      <c r="I16" s="383"/>
      <c r="J16" s="383"/>
      <c r="K16" s="383"/>
      <c r="L16" s="383"/>
      <c r="M16" s="383"/>
      <c r="N16" s="383"/>
      <c r="O16" s="383"/>
      <c r="P16" s="383"/>
      <c r="Q16" s="350"/>
    </row>
    <row r="17" spans="2:17" x14ac:dyDescent="0.2">
      <c r="B17" s="247" t="s">
        <v>299</v>
      </c>
      <c r="C17" s="55"/>
      <c r="D17" s="394"/>
      <c r="E17" s="533">
        <f t="shared" si="0"/>
        <v>0</v>
      </c>
      <c r="F17" s="372"/>
      <c r="G17" s="383"/>
      <c r="H17" s="383"/>
      <c r="I17" s="383"/>
      <c r="J17" s="383"/>
      <c r="K17" s="383"/>
      <c r="L17" s="383"/>
      <c r="M17" s="383"/>
      <c r="N17" s="383"/>
      <c r="O17" s="383"/>
      <c r="P17" s="383"/>
      <c r="Q17" s="350"/>
    </row>
    <row r="18" spans="2:17" x14ac:dyDescent="0.2">
      <c r="B18" s="261" t="s">
        <v>281</v>
      </c>
      <c r="C18" s="162"/>
      <c r="D18" s="406"/>
      <c r="E18" s="533">
        <f>SUM(F18:Q18)</f>
        <v>0</v>
      </c>
      <c r="F18" s="372"/>
      <c r="G18" s="383"/>
      <c r="H18" s="383"/>
      <c r="I18" s="383"/>
      <c r="J18" s="383"/>
      <c r="K18" s="383"/>
      <c r="L18" s="383"/>
      <c r="M18" s="383"/>
      <c r="N18" s="383"/>
      <c r="O18" s="383"/>
      <c r="P18" s="383"/>
      <c r="Q18" s="350"/>
    </row>
    <row r="19" spans="2:17" x14ac:dyDescent="0.2">
      <c r="B19" s="261" t="s">
        <v>293</v>
      </c>
      <c r="C19" s="162"/>
      <c r="D19" s="406"/>
      <c r="E19" s="533">
        <f t="shared" si="0"/>
        <v>0</v>
      </c>
      <c r="F19" s="372"/>
      <c r="G19" s="383"/>
      <c r="H19" s="383"/>
      <c r="I19" s="383"/>
      <c r="J19" s="383"/>
      <c r="K19" s="383"/>
      <c r="L19" s="383"/>
      <c r="M19" s="383"/>
      <c r="N19" s="383"/>
      <c r="O19" s="383"/>
      <c r="P19" s="383"/>
      <c r="Q19" s="350"/>
    </row>
    <row r="20" spans="2:17" x14ac:dyDescent="0.2">
      <c r="B20" s="259" t="s">
        <v>292</v>
      </c>
      <c r="C20" s="161"/>
      <c r="D20" s="394"/>
      <c r="E20" s="533">
        <f>SUM(F20:Q20)</f>
        <v>0</v>
      </c>
      <c r="F20" s="372"/>
      <c r="G20" s="383"/>
      <c r="H20" s="383"/>
      <c r="I20" s="383"/>
      <c r="J20" s="383"/>
      <c r="K20" s="383"/>
      <c r="L20" s="383"/>
      <c r="M20" s="383"/>
      <c r="N20" s="383"/>
      <c r="O20" s="383"/>
      <c r="P20" s="383"/>
      <c r="Q20" s="350"/>
    </row>
    <row r="21" spans="2:17" x14ac:dyDescent="0.2">
      <c r="B21" s="248" t="s">
        <v>0</v>
      </c>
      <c r="C21" s="148"/>
      <c r="D21" s="395"/>
      <c r="E21" s="533">
        <f t="shared" si="0"/>
        <v>0</v>
      </c>
      <c r="F21" s="372"/>
      <c r="G21" s="383"/>
      <c r="H21" s="383"/>
      <c r="I21" s="383"/>
      <c r="J21" s="383"/>
      <c r="K21" s="383"/>
      <c r="L21" s="383"/>
      <c r="M21" s="383"/>
      <c r="N21" s="383"/>
      <c r="O21" s="383"/>
      <c r="P21" s="383"/>
      <c r="Q21" s="350"/>
    </row>
    <row r="22" spans="2:17" x14ac:dyDescent="0.2">
      <c r="B22" s="249" t="s">
        <v>239</v>
      </c>
      <c r="C22" s="163"/>
      <c r="D22" s="396">
        <f>SUM(D10:D16)+SUM(D17:D21)</f>
        <v>0</v>
      </c>
      <c r="E22" s="544">
        <f>SUM(E10:E16)+SUM(E17:E21)</f>
        <v>0</v>
      </c>
      <c r="F22" s="373">
        <f t="shared" ref="F22:Q22" si="1">SUM(F10:F16)+SUM(F17:F21)</f>
        <v>0</v>
      </c>
      <c r="G22" s="384">
        <f t="shared" si="1"/>
        <v>0</v>
      </c>
      <c r="H22" s="384">
        <f t="shared" si="1"/>
        <v>0</v>
      </c>
      <c r="I22" s="384">
        <f t="shared" si="1"/>
        <v>0</v>
      </c>
      <c r="J22" s="384">
        <f t="shared" si="1"/>
        <v>0</v>
      </c>
      <c r="K22" s="384">
        <f t="shared" si="1"/>
        <v>0</v>
      </c>
      <c r="L22" s="384">
        <f t="shared" si="1"/>
        <v>0</v>
      </c>
      <c r="M22" s="384">
        <f t="shared" si="1"/>
        <v>0</v>
      </c>
      <c r="N22" s="384">
        <f t="shared" si="1"/>
        <v>0</v>
      </c>
      <c r="O22" s="384">
        <f t="shared" si="1"/>
        <v>0</v>
      </c>
      <c r="P22" s="384">
        <f t="shared" si="1"/>
        <v>0</v>
      </c>
      <c r="Q22" s="351">
        <f t="shared" si="1"/>
        <v>0</v>
      </c>
    </row>
    <row r="23" spans="2:17" ht="2.25" customHeight="1" x14ac:dyDescent="0.2">
      <c r="B23" s="243"/>
      <c r="D23" s="397"/>
      <c r="E23" s="531"/>
      <c r="F23" s="374"/>
      <c r="G23" s="385"/>
      <c r="H23" s="393"/>
      <c r="I23" s="393"/>
      <c r="J23" s="393"/>
      <c r="K23" s="393"/>
      <c r="L23" s="393"/>
      <c r="M23" s="393"/>
      <c r="N23" s="393"/>
      <c r="O23" s="393"/>
      <c r="P23" s="393"/>
      <c r="Q23" s="354"/>
    </row>
    <row r="24" spans="2:17" x14ac:dyDescent="0.2">
      <c r="B24" s="245" t="s">
        <v>444</v>
      </c>
      <c r="C24" s="5"/>
      <c r="D24" s="398"/>
      <c r="E24" s="531"/>
      <c r="F24" s="374"/>
      <c r="G24" s="385"/>
      <c r="H24" s="393"/>
      <c r="I24" s="393"/>
      <c r="J24" s="393"/>
      <c r="K24" s="393"/>
      <c r="L24" s="393"/>
      <c r="M24" s="393"/>
      <c r="N24" s="393"/>
      <c r="O24" s="393"/>
      <c r="P24" s="393"/>
      <c r="Q24" s="354"/>
    </row>
    <row r="25" spans="2:17" x14ac:dyDescent="0.2">
      <c r="B25" s="254" t="s">
        <v>305</v>
      </c>
      <c r="C25" s="46"/>
      <c r="D25" s="400">
        <v>0</v>
      </c>
      <c r="E25" s="533">
        <f>SUM(F25:Q25)</f>
        <v>0</v>
      </c>
      <c r="F25" s="372"/>
      <c r="G25" s="383"/>
      <c r="H25" s="383"/>
      <c r="I25" s="383"/>
      <c r="J25" s="383"/>
      <c r="K25" s="383"/>
      <c r="L25" s="383"/>
      <c r="M25" s="383"/>
      <c r="N25" s="383"/>
      <c r="O25" s="383"/>
      <c r="P25" s="383"/>
      <c r="Q25" s="350"/>
    </row>
    <row r="26" spans="2:17" x14ac:dyDescent="0.2">
      <c r="B26" s="247" t="s">
        <v>317</v>
      </c>
      <c r="D26" s="399"/>
      <c r="E26" s="533">
        <f>SUM(F26:Q26)</f>
        <v>0</v>
      </c>
      <c r="F26" s="372"/>
      <c r="G26" s="383"/>
      <c r="H26" s="383"/>
      <c r="I26" s="383"/>
      <c r="J26" s="383"/>
      <c r="K26" s="383"/>
      <c r="L26" s="383"/>
      <c r="M26" s="383"/>
      <c r="N26" s="383"/>
      <c r="O26" s="383"/>
      <c r="P26" s="383"/>
      <c r="Q26" s="349"/>
    </row>
    <row r="27" spans="2:17" x14ac:dyDescent="0.2">
      <c r="B27" s="247" t="s">
        <v>318</v>
      </c>
      <c r="D27" s="399"/>
      <c r="E27" s="533">
        <f>SUM(F27:Q27)</f>
        <v>0</v>
      </c>
      <c r="F27" s="372"/>
      <c r="G27" s="383"/>
      <c r="H27" s="383"/>
      <c r="I27" s="383"/>
      <c r="J27" s="383"/>
      <c r="K27" s="383"/>
      <c r="L27" s="383"/>
      <c r="M27" s="383"/>
      <c r="N27" s="383"/>
      <c r="O27" s="383"/>
      <c r="P27" s="383"/>
      <c r="Q27" s="349"/>
    </row>
    <row r="28" spans="2:17" x14ac:dyDescent="0.2">
      <c r="B28" s="247" t="s">
        <v>298</v>
      </c>
      <c r="D28" s="399"/>
      <c r="E28" s="533">
        <f>SUM(F28:Q28)</f>
        <v>0</v>
      </c>
      <c r="F28" s="372"/>
      <c r="G28" s="383"/>
      <c r="H28" s="383"/>
      <c r="I28" s="383"/>
      <c r="J28" s="383"/>
      <c r="K28" s="383"/>
      <c r="L28" s="383"/>
      <c r="M28" s="383"/>
      <c r="N28" s="383"/>
      <c r="O28" s="383"/>
      <c r="P28" s="383"/>
      <c r="Q28" s="349"/>
    </row>
    <row r="29" spans="2:17" x14ac:dyDescent="0.2">
      <c r="B29" s="251" t="s">
        <v>319</v>
      </c>
      <c r="C29" s="47"/>
      <c r="D29" s="399"/>
      <c r="E29" s="533">
        <f>SUM(F29:Q29)</f>
        <v>0</v>
      </c>
      <c r="F29" s="372"/>
      <c r="G29" s="383"/>
      <c r="H29" s="383"/>
      <c r="I29" s="383"/>
      <c r="J29" s="383"/>
      <c r="K29" s="383"/>
      <c r="L29" s="383"/>
      <c r="M29" s="383"/>
      <c r="N29" s="383"/>
      <c r="O29" s="383"/>
      <c r="P29" s="383"/>
      <c r="Q29" s="350"/>
    </row>
    <row r="30" spans="2:17" s="6" customFormat="1" x14ac:dyDescent="0.2">
      <c r="B30" s="251" t="s">
        <v>320</v>
      </c>
      <c r="C30" s="47"/>
      <c r="D30" s="399"/>
      <c r="E30" s="533">
        <f t="shared" ref="E30:E52" si="2">SUM(F30:Q30)</f>
        <v>0</v>
      </c>
      <c r="F30" s="372"/>
      <c r="G30" s="383"/>
      <c r="H30" s="383"/>
      <c r="I30" s="383"/>
      <c r="J30" s="383"/>
      <c r="K30" s="383"/>
      <c r="L30" s="383"/>
      <c r="M30" s="383"/>
      <c r="N30" s="383"/>
      <c r="O30" s="383"/>
      <c r="P30" s="383"/>
      <c r="Q30" s="350"/>
    </row>
    <row r="31" spans="2:17" x14ac:dyDescent="0.2">
      <c r="B31" s="247" t="s">
        <v>321</v>
      </c>
      <c r="D31" s="399"/>
      <c r="E31" s="533">
        <f t="shared" si="2"/>
        <v>0</v>
      </c>
      <c r="F31" s="372"/>
      <c r="G31" s="383"/>
      <c r="H31" s="383"/>
      <c r="I31" s="383"/>
      <c r="J31" s="383"/>
      <c r="K31" s="383"/>
      <c r="L31" s="383"/>
      <c r="M31" s="383"/>
      <c r="N31" s="383"/>
      <c r="O31" s="383"/>
      <c r="P31" s="383"/>
      <c r="Q31" s="349"/>
    </row>
    <row r="32" spans="2:17" s="6" customFormat="1" x14ac:dyDescent="0.2">
      <c r="B32" s="251" t="s">
        <v>322</v>
      </c>
      <c r="C32" s="47"/>
      <c r="D32" s="399"/>
      <c r="E32" s="533">
        <f t="shared" si="2"/>
        <v>0</v>
      </c>
      <c r="F32" s="372"/>
      <c r="G32" s="383"/>
      <c r="H32" s="383"/>
      <c r="I32" s="383"/>
      <c r="J32" s="383"/>
      <c r="K32" s="383"/>
      <c r="L32" s="383"/>
      <c r="M32" s="383"/>
      <c r="N32" s="383"/>
      <c r="O32" s="383"/>
      <c r="P32" s="383"/>
      <c r="Q32" s="349"/>
    </row>
    <row r="33" spans="2:17" s="6" customFormat="1" x14ac:dyDescent="0.2">
      <c r="B33" s="251" t="s">
        <v>323</v>
      </c>
      <c r="C33" s="47"/>
      <c r="D33" s="399"/>
      <c r="E33" s="533">
        <f t="shared" si="2"/>
        <v>0</v>
      </c>
      <c r="F33" s="372"/>
      <c r="G33" s="383"/>
      <c r="H33" s="383"/>
      <c r="I33" s="383"/>
      <c r="J33" s="383"/>
      <c r="K33" s="383"/>
      <c r="L33" s="383"/>
      <c r="M33" s="383"/>
      <c r="N33" s="383"/>
      <c r="O33" s="383"/>
      <c r="P33" s="383"/>
      <c r="Q33" s="349"/>
    </row>
    <row r="34" spans="2:17" s="6" customFormat="1" x14ac:dyDescent="0.2">
      <c r="B34" s="251" t="s">
        <v>324</v>
      </c>
      <c r="C34" s="47"/>
      <c r="D34" s="399"/>
      <c r="E34" s="533">
        <f t="shared" si="2"/>
        <v>0</v>
      </c>
      <c r="F34" s="372"/>
      <c r="G34" s="383"/>
      <c r="H34" s="383"/>
      <c r="I34" s="383"/>
      <c r="J34" s="383"/>
      <c r="K34" s="383"/>
      <c r="L34" s="383"/>
      <c r="M34" s="383"/>
      <c r="N34" s="383"/>
      <c r="O34" s="383"/>
      <c r="P34" s="383"/>
      <c r="Q34" s="349"/>
    </row>
    <row r="35" spans="2:17" x14ac:dyDescent="0.2">
      <c r="B35" s="247" t="s">
        <v>316</v>
      </c>
      <c r="D35" s="399"/>
      <c r="E35" s="533">
        <f t="shared" si="2"/>
        <v>0</v>
      </c>
      <c r="F35" s="372"/>
      <c r="G35" s="383"/>
      <c r="H35" s="383"/>
      <c r="I35" s="383"/>
      <c r="J35" s="383"/>
      <c r="K35" s="383"/>
      <c r="L35" s="383"/>
      <c r="M35" s="383"/>
      <c r="N35" s="383"/>
      <c r="O35" s="383"/>
      <c r="P35" s="383"/>
      <c r="Q35" s="349"/>
    </row>
    <row r="36" spans="2:17" x14ac:dyDescent="0.2">
      <c r="B36" s="247" t="s">
        <v>313</v>
      </c>
      <c r="D36" s="399"/>
      <c r="E36" s="533">
        <f t="shared" si="2"/>
        <v>0</v>
      </c>
      <c r="F36" s="372"/>
      <c r="G36" s="383"/>
      <c r="H36" s="383"/>
      <c r="I36" s="383"/>
      <c r="J36" s="383"/>
      <c r="K36" s="383"/>
      <c r="L36" s="383"/>
      <c r="M36" s="383"/>
      <c r="N36" s="383"/>
      <c r="O36" s="383"/>
      <c r="P36" s="383"/>
      <c r="Q36" s="349"/>
    </row>
    <row r="37" spans="2:17" x14ac:dyDescent="0.2">
      <c r="B37" s="247" t="s">
        <v>314</v>
      </c>
      <c r="D37" s="399"/>
      <c r="E37" s="533">
        <f t="shared" si="2"/>
        <v>0</v>
      </c>
      <c r="F37" s="372"/>
      <c r="G37" s="383"/>
      <c r="H37" s="383"/>
      <c r="I37" s="383"/>
      <c r="J37" s="383"/>
      <c r="K37" s="383"/>
      <c r="L37" s="383"/>
      <c r="M37" s="383"/>
      <c r="N37" s="383"/>
      <c r="O37" s="383"/>
      <c r="P37" s="383"/>
      <c r="Q37" s="349"/>
    </row>
    <row r="38" spans="2:17" x14ac:dyDescent="0.2">
      <c r="B38" s="247" t="s">
        <v>315</v>
      </c>
      <c r="D38" s="399"/>
      <c r="E38" s="533">
        <f t="shared" si="2"/>
        <v>0</v>
      </c>
      <c r="F38" s="372"/>
      <c r="G38" s="383"/>
      <c r="H38" s="383"/>
      <c r="I38" s="383"/>
      <c r="J38" s="383"/>
      <c r="K38" s="383"/>
      <c r="L38" s="383"/>
      <c r="M38" s="383"/>
      <c r="N38" s="383"/>
      <c r="O38" s="383"/>
      <c r="P38" s="383"/>
      <c r="Q38" s="349"/>
    </row>
    <row r="39" spans="2:17" x14ac:dyDescent="0.2">
      <c r="B39" s="250" t="s">
        <v>307</v>
      </c>
      <c r="C39" s="49"/>
      <c r="D39" s="399"/>
      <c r="E39" s="533">
        <f t="shared" si="2"/>
        <v>0</v>
      </c>
      <c r="F39" s="372"/>
      <c r="G39" s="383"/>
      <c r="H39" s="383"/>
      <c r="I39" s="383"/>
      <c r="J39" s="383"/>
      <c r="K39" s="383"/>
      <c r="L39" s="383"/>
      <c r="M39" s="383"/>
      <c r="N39" s="383"/>
      <c r="O39" s="383"/>
      <c r="P39" s="383"/>
      <c r="Q39" s="350"/>
    </row>
    <row r="40" spans="2:17" x14ac:dyDescent="0.2">
      <c r="B40" s="250" t="s">
        <v>312</v>
      </c>
      <c r="C40" s="49"/>
      <c r="D40" s="399"/>
      <c r="E40" s="533">
        <f t="shared" si="2"/>
        <v>0</v>
      </c>
      <c r="F40" s="372"/>
      <c r="G40" s="383"/>
      <c r="H40" s="383"/>
      <c r="I40" s="383"/>
      <c r="J40" s="383"/>
      <c r="K40" s="383"/>
      <c r="L40" s="383"/>
      <c r="M40" s="383"/>
      <c r="N40" s="383"/>
      <c r="O40" s="383"/>
      <c r="P40" s="383"/>
      <c r="Q40" s="350"/>
    </row>
    <row r="41" spans="2:17" x14ac:dyDescent="0.2">
      <c r="B41" s="250" t="s">
        <v>311</v>
      </c>
      <c r="C41" s="49"/>
      <c r="D41" s="399"/>
      <c r="E41" s="533">
        <f t="shared" si="2"/>
        <v>0</v>
      </c>
      <c r="F41" s="372"/>
      <c r="G41" s="383"/>
      <c r="H41" s="383"/>
      <c r="I41" s="383"/>
      <c r="J41" s="383"/>
      <c r="K41" s="383"/>
      <c r="L41" s="383"/>
      <c r="M41" s="383"/>
      <c r="N41" s="383"/>
      <c r="O41" s="383"/>
      <c r="P41" s="383"/>
      <c r="Q41" s="350"/>
    </row>
    <row r="42" spans="2:17" x14ac:dyDescent="0.2">
      <c r="B42" s="250" t="s">
        <v>310</v>
      </c>
      <c r="C42" s="49"/>
      <c r="D42" s="399"/>
      <c r="E42" s="533">
        <f t="shared" si="2"/>
        <v>0</v>
      </c>
      <c r="F42" s="372"/>
      <c r="G42" s="383"/>
      <c r="H42" s="383"/>
      <c r="I42" s="383"/>
      <c r="J42" s="383"/>
      <c r="K42" s="383"/>
      <c r="L42" s="383"/>
      <c r="M42" s="383"/>
      <c r="N42" s="383"/>
      <c r="O42" s="383"/>
      <c r="P42" s="383"/>
      <c r="Q42" s="350"/>
    </row>
    <row r="43" spans="2:17" x14ac:dyDescent="0.2">
      <c r="B43" s="250" t="s">
        <v>309</v>
      </c>
      <c r="C43" s="49"/>
      <c r="D43" s="399"/>
      <c r="E43" s="533">
        <f t="shared" si="2"/>
        <v>0</v>
      </c>
      <c r="F43" s="372"/>
      <c r="G43" s="383"/>
      <c r="H43" s="383"/>
      <c r="I43" s="383"/>
      <c r="J43" s="383"/>
      <c r="K43" s="383"/>
      <c r="L43" s="383"/>
      <c r="M43" s="383"/>
      <c r="N43" s="383"/>
      <c r="O43" s="383"/>
      <c r="P43" s="383"/>
      <c r="Q43" s="350"/>
    </row>
    <row r="44" spans="2:17" x14ac:dyDescent="0.2">
      <c r="B44" s="250" t="s">
        <v>308</v>
      </c>
      <c r="C44" s="49"/>
      <c r="D44" s="399"/>
      <c r="E44" s="533">
        <f t="shared" si="2"/>
        <v>0</v>
      </c>
      <c r="F44" s="372"/>
      <c r="G44" s="383"/>
      <c r="H44" s="383"/>
      <c r="I44" s="383"/>
      <c r="J44" s="383"/>
      <c r="K44" s="383"/>
      <c r="L44" s="383"/>
      <c r="M44" s="383"/>
      <c r="N44" s="383"/>
      <c r="O44" s="383"/>
      <c r="P44" s="383"/>
      <c r="Q44" s="350"/>
    </row>
    <row r="45" spans="2:17" x14ac:dyDescent="0.2">
      <c r="B45" s="250" t="s">
        <v>45</v>
      </c>
      <c r="C45" s="49"/>
      <c r="D45" s="399"/>
      <c r="E45" s="533">
        <f>SUM(F45:Q45)</f>
        <v>0</v>
      </c>
      <c r="F45" s="372"/>
      <c r="G45" s="383"/>
      <c r="H45" s="383"/>
      <c r="I45" s="383"/>
      <c r="J45" s="383"/>
      <c r="K45" s="383"/>
      <c r="L45" s="383"/>
      <c r="M45" s="383"/>
      <c r="N45" s="383"/>
      <c r="O45" s="383"/>
      <c r="P45" s="383"/>
      <c r="Q45" s="350"/>
    </row>
    <row r="46" spans="2:17" x14ac:dyDescent="0.2">
      <c r="B46" s="251" t="s">
        <v>71</v>
      </c>
      <c r="C46" s="60"/>
      <c r="D46" s="399"/>
      <c r="E46" s="533">
        <f t="shared" si="2"/>
        <v>0</v>
      </c>
      <c r="F46" s="372"/>
      <c r="G46" s="383"/>
      <c r="H46" s="383"/>
      <c r="I46" s="383"/>
      <c r="J46" s="383"/>
      <c r="K46" s="383"/>
      <c r="L46" s="383"/>
      <c r="M46" s="383"/>
      <c r="N46" s="383"/>
      <c r="O46" s="383"/>
      <c r="P46" s="383"/>
      <c r="Q46" s="350"/>
    </row>
    <row r="47" spans="2:17" x14ac:dyDescent="0.2">
      <c r="B47" s="250" t="s">
        <v>304</v>
      </c>
      <c r="C47" s="49"/>
      <c r="D47" s="399"/>
      <c r="E47" s="532">
        <f>SUM(F47:Q47)</f>
        <v>0</v>
      </c>
      <c r="F47" s="371"/>
      <c r="G47" s="382"/>
      <c r="H47" s="382"/>
      <c r="I47" s="382"/>
      <c r="J47" s="382"/>
      <c r="K47" s="382"/>
      <c r="L47" s="382"/>
      <c r="M47" s="383"/>
      <c r="N47" s="382"/>
      <c r="O47" s="382"/>
      <c r="P47" s="383"/>
      <c r="Q47" s="349"/>
    </row>
    <row r="48" spans="2:17" x14ac:dyDescent="0.2">
      <c r="B48" s="251" t="s">
        <v>306</v>
      </c>
      <c r="C48" s="60"/>
      <c r="D48" s="399"/>
      <c r="E48" s="533">
        <f t="shared" si="2"/>
        <v>0</v>
      </c>
      <c r="F48" s="372"/>
      <c r="G48" s="383"/>
      <c r="H48" s="383"/>
      <c r="I48" s="383"/>
      <c r="J48" s="383"/>
      <c r="K48" s="383"/>
      <c r="L48" s="383"/>
      <c r="M48" s="383"/>
      <c r="N48" s="383"/>
      <c r="O48" s="383"/>
      <c r="P48" s="383"/>
      <c r="Q48" s="349"/>
    </row>
    <row r="49" spans="2:17" x14ac:dyDescent="0.2">
      <c r="B49" s="247" t="s">
        <v>47</v>
      </c>
      <c r="D49" s="399"/>
      <c r="E49" s="533">
        <f t="shared" si="2"/>
        <v>0</v>
      </c>
      <c r="F49" s="372"/>
      <c r="G49" s="383"/>
      <c r="H49" s="383"/>
      <c r="I49" s="383"/>
      <c r="J49" s="383"/>
      <c r="K49" s="383"/>
      <c r="L49" s="383"/>
      <c r="M49" s="383"/>
      <c r="N49" s="383"/>
      <c r="O49" s="383"/>
      <c r="P49" s="383"/>
      <c r="Q49" s="349"/>
    </row>
    <row r="50" spans="2:17" x14ac:dyDescent="0.2">
      <c r="B50" s="250" t="s">
        <v>46</v>
      </c>
      <c r="C50" s="49"/>
      <c r="D50" s="399"/>
      <c r="E50" s="533">
        <f t="shared" si="2"/>
        <v>0</v>
      </c>
      <c r="F50" s="372"/>
      <c r="G50" s="383"/>
      <c r="H50" s="383"/>
      <c r="I50" s="383"/>
      <c r="J50" s="383"/>
      <c r="K50" s="383"/>
      <c r="L50" s="383"/>
      <c r="M50" s="383"/>
      <c r="N50" s="383"/>
      <c r="O50" s="383"/>
      <c r="P50" s="383"/>
      <c r="Q50" s="350"/>
    </row>
    <row r="51" spans="2:17" x14ac:dyDescent="0.2">
      <c r="B51" s="606" t="s">
        <v>445</v>
      </c>
      <c r="C51" s="151"/>
      <c r="D51" s="399"/>
      <c r="E51" s="533">
        <f t="shared" si="2"/>
        <v>0</v>
      </c>
      <c r="F51" s="375"/>
      <c r="G51" s="386"/>
      <c r="H51" s="386"/>
      <c r="I51" s="386"/>
      <c r="J51" s="386"/>
      <c r="K51" s="386"/>
      <c r="L51" s="386"/>
      <c r="M51" s="386"/>
      <c r="N51" s="386"/>
      <c r="O51" s="386"/>
      <c r="P51" s="386"/>
      <c r="Q51" s="355"/>
    </row>
    <row r="52" spans="2:17" x14ac:dyDescent="0.2">
      <c r="B52" s="249" t="s">
        <v>539</v>
      </c>
      <c r="C52" s="163"/>
      <c r="D52" s="402">
        <f>SUM(D25:D51)</f>
        <v>0</v>
      </c>
      <c r="E52" s="530">
        <f t="shared" si="2"/>
        <v>0</v>
      </c>
      <c r="F52" s="373">
        <f t="shared" ref="F52:Q52" si="3">SUM(F25:F51)</f>
        <v>0</v>
      </c>
      <c r="G52" s="384">
        <f t="shared" si="3"/>
        <v>0</v>
      </c>
      <c r="H52" s="384">
        <f t="shared" si="3"/>
        <v>0</v>
      </c>
      <c r="I52" s="384">
        <f t="shared" si="3"/>
        <v>0</v>
      </c>
      <c r="J52" s="384">
        <f t="shared" si="3"/>
        <v>0</v>
      </c>
      <c r="K52" s="384">
        <f t="shared" si="3"/>
        <v>0</v>
      </c>
      <c r="L52" s="384">
        <f t="shared" si="3"/>
        <v>0</v>
      </c>
      <c r="M52" s="384">
        <f t="shared" si="3"/>
        <v>0</v>
      </c>
      <c r="N52" s="384">
        <f t="shared" si="3"/>
        <v>0</v>
      </c>
      <c r="O52" s="384">
        <f t="shared" si="3"/>
        <v>0</v>
      </c>
      <c r="P52" s="384">
        <f t="shared" si="3"/>
        <v>0</v>
      </c>
      <c r="Q52" s="351">
        <f t="shared" si="3"/>
        <v>0</v>
      </c>
    </row>
    <row r="53" spans="2:17" ht="4.7" customHeight="1" x14ac:dyDescent="0.2">
      <c r="B53" s="243"/>
      <c r="D53" s="397"/>
      <c r="E53" s="531"/>
      <c r="F53" s="374"/>
      <c r="G53" s="385"/>
      <c r="H53" s="393"/>
      <c r="I53" s="393"/>
      <c r="J53" s="393"/>
      <c r="K53" s="393"/>
      <c r="L53" s="393"/>
      <c r="M53" s="393"/>
      <c r="N53" s="393"/>
      <c r="O53" s="393"/>
      <c r="P53" s="393"/>
      <c r="Q53" s="354"/>
    </row>
    <row r="54" spans="2:17" x14ac:dyDescent="0.2">
      <c r="B54" s="245" t="s">
        <v>446</v>
      </c>
      <c r="C54" s="5"/>
      <c r="D54" s="398"/>
      <c r="E54" s="531"/>
      <c r="F54" s="374"/>
      <c r="G54" s="385"/>
      <c r="H54" s="393"/>
      <c r="I54" s="393"/>
      <c r="J54" s="393"/>
      <c r="K54" s="393"/>
      <c r="L54" s="393"/>
      <c r="M54" s="393"/>
      <c r="N54" s="393"/>
      <c r="O54" s="393"/>
      <c r="P54" s="393"/>
      <c r="Q54" s="354"/>
    </row>
    <row r="55" spans="2:17" x14ac:dyDescent="0.2">
      <c r="B55" s="260" t="s">
        <v>380</v>
      </c>
      <c r="C55" s="161"/>
      <c r="D55" s="394"/>
      <c r="E55" s="532">
        <f>SUM(F55:Q55)</f>
        <v>0</v>
      </c>
      <c r="F55" s="371"/>
      <c r="G55" s="382"/>
      <c r="H55" s="382"/>
      <c r="I55" s="382"/>
      <c r="J55" s="382"/>
      <c r="K55" s="382"/>
      <c r="L55" s="382"/>
      <c r="M55" s="382"/>
      <c r="N55" s="382"/>
      <c r="O55" s="382"/>
      <c r="P55" s="382"/>
      <c r="Q55" s="349"/>
    </row>
    <row r="56" spans="2:17" x14ac:dyDescent="0.2">
      <c r="B56" s="260" t="s">
        <v>381</v>
      </c>
      <c r="C56" s="161"/>
      <c r="D56" s="394"/>
      <c r="E56" s="532">
        <f>SUM(F56:Q56)</f>
        <v>0</v>
      </c>
      <c r="F56" s="371"/>
      <c r="G56" s="382"/>
      <c r="H56" s="382"/>
      <c r="I56" s="382"/>
      <c r="J56" s="382"/>
      <c r="K56" s="382"/>
      <c r="L56" s="382"/>
      <c r="M56" s="382"/>
      <c r="N56" s="382"/>
      <c r="O56" s="382"/>
      <c r="P56" s="382"/>
      <c r="Q56" s="349"/>
    </row>
    <row r="57" spans="2:17" x14ac:dyDescent="0.2">
      <c r="B57" s="260" t="s">
        <v>382</v>
      </c>
      <c r="C57" s="161"/>
      <c r="D57" s="394"/>
      <c r="E57" s="532">
        <f>SUM(F57:Q57)</f>
        <v>0</v>
      </c>
      <c r="F57" s="371"/>
      <c r="G57" s="382"/>
      <c r="H57" s="382"/>
      <c r="I57" s="382"/>
      <c r="J57" s="382"/>
      <c r="K57" s="382"/>
      <c r="L57" s="382"/>
      <c r="M57" s="382"/>
      <c r="N57" s="382"/>
      <c r="O57" s="382"/>
      <c r="P57" s="382"/>
      <c r="Q57" s="349"/>
    </row>
    <row r="58" spans="2:17" s="6" customFormat="1" x14ac:dyDescent="0.2">
      <c r="B58" s="251" t="s">
        <v>300</v>
      </c>
      <c r="C58" s="47"/>
      <c r="D58" s="400"/>
      <c r="E58" s="546">
        <f>SUM(F58:Q58)</f>
        <v>0</v>
      </c>
      <c r="F58" s="371"/>
      <c r="G58" s="382"/>
      <c r="H58" s="382"/>
      <c r="I58" s="382"/>
      <c r="J58" s="382"/>
      <c r="K58" s="382"/>
      <c r="L58" s="382"/>
      <c r="M58" s="382"/>
      <c r="N58" s="382"/>
      <c r="O58" s="382"/>
      <c r="P58" s="382"/>
      <c r="Q58" s="349"/>
    </row>
    <row r="59" spans="2:17" s="6" customFormat="1" x14ac:dyDescent="0.2">
      <c r="B59" s="251" t="s">
        <v>303</v>
      </c>
      <c r="C59" s="47"/>
      <c r="D59" s="400"/>
      <c r="E59" s="546">
        <f>SUM(F59:Q59)</f>
        <v>0</v>
      </c>
      <c r="F59" s="371"/>
      <c r="G59" s="382"/>
      <c r="H59" s="382"/>
      <c r="I59" s="382"/>
      <c r="J59" s="382"/>
      <c r="K59" s="382"/>
      <c r="L59" s="382"/>
      <c r="M59" s="382"/>
      <c r="N59" s="382"/>
      <c r="O59" s="382"/>
      <c r="P59" s="382"/>
      <c r="Q59" s="349"/>
    </row>
    <row r="60" spans="2:17" s="6" customFormat="1" x14ac:dyDescent="0.2">
      <c r="B60" s="253" t="s">
        <v>447</v>
      </c>
      <c r="C60" s="48"/>
      <c r="D60" s="399"/>
      <c r="E60" s="545">
        <f t="shared" ref="E60:E68" si="4">SUM(F60:Q60)</f>
        <v>0</v>
      </c>
      <c r="F60" s="372"/>
      <c r="G60" s="383"/>
      <c r="H60" s="383"/>
      <c r="I60" s="383"/>
      <c r="J60" s="383"/>
      <c r="K60" s="383"/>
      <c r="L60" s="383"/>
      <c r="M60" s="383"/>
      <c r="N60" s="383"/>
      <c r="O60" s="383"/>
      <c r="P60" s="383"/>
      <c r="Q60" s="350"/>
    </row>
    <row r="61" spans="2:17" s="6" customFormat="1" x14ac:dyDescent="0.2">
      <c r="B61" s="254" t="s">
        <v>73</v>
      </c>
      <c r="C61" s="61"/>
      <c r="D61" s="401"/>
      <c r="E61" s="545">
        <f t="shared" si="4"/>
        <v>0</v>
      </c>
      <c r="F61" s="506">
        <f>INDEX('Loans to Cash Flows Wkst'!$E$2:$E$15,MATCH('Cash Flows'!F6,'Loans to Cash Flows Wkst'!$C$2:$C$15,0))+INDEX(ProposedLoansWkst!$E$2:$E$15,MATCH('Cash Flows'!F$6,ProposedLoansWkst!$C$2:$C$15,0))+INDEX(ProposedLoansWkst!$E$66:$E$79,MATCH('Cash Flows'!F$6,ProposedLoansWkst!$C$66:$C$79,0))+INDEX('Loans to Cash Flows Wkst'!$E$68:$E$81,MATCH('Cash Flows'!F$6,'Loans to Cash Flows Wkst'!$C$2:$C$15,0))</f>
        <v>0</v>
      </c>
      <c r="G61" s="507">
        <f>INDEX('Loans to Cash Flows Wkst'!$E$2:$E$15,MATCH('Cash Flows'!G6,'Loans to Cash Flows Wkst'!$C$2:$C$15,0))+INDEX(ProposedLoansWkst!$E$2:$E$15,MATCH('Cash Flows'!G$6,ProposedLoansWkst!$C$2:$C$15,0))+INDEX(ProposedLoansWkst!$E$66:$E$79,MATCH('Cash Flows'!G$6,ProposedLoansWkst!$C$66:$C$79,0))+INDEX('Loans to Cash Flows Wkst'!$E$68:$E$81,MATCH('Cash Flows'!G$6,'Loans to Cash Flows Wkst'!$C$2:$C$15,0))</f>
        <v>0</v>
      </c>
      <c r="H61" s="507">
        <f>INDEX('Loans to Cash Flows Wkst'!$E$2:$E$15,MATCH('Cash Flows'!H6,'Loans to Cash Flows Wkst'!$C$2:$C$15,0))+INDEX(ProposedLoansWkst!$E$2:$E$15,MATCH('Cash Flows'!H$6,ProposedLoansWkst!$C$2:$C$15,0))+INDEX(ProposedLoansWkst!$E$66:$E$79,MATCH('Cash Flows'!H$6,ProposedLoansWkst!$C$66:$C$79,0))+INDEX('Loans to Cash Flows Wkst'!$E$68:$E$81,MATCH('Cash Flows'!H$6,'Loans to Cash Flows Wkst'!$C$2:$C$15,0))</f>
        <v>0</v>
      </c>
      <c r="I61" s="507">
        <f>INDEX('Loans to Cash Flows Wkst'!$E$2:$E$15,MATCH('Cash Flows'!I6,'Loans to Cash Flows Wkst'!$C$2:$C$15,0))+INDEX(ProposedLoansWkst!$E$2:$E$15,MATCH('Cash Flows'!I$6,ProposedLoansWkst!$C$2:$C$15,0))+INDEX(ProposedLoansWkst!$E$66:$E$79,MATCH('Cash Flows'!I$6,ProposedLoansWkst!$C$66:$C$79,0))+INDEX('Loans to Cash Flows Wkst'!$E$68:$E$81,MATCH('Cash Flows'!I$6,'Loans to Cash Flows Wkst'!$C$2:$C$15,0))</f>
        <v>0</v>
      </c>
      <c r="J61" s="507">
        <f>INDEX('Loans to Cash Flows Wkst'!$E$2:$E$15,MATCH('Cash Flows'!J6,'Loans to Cash Flows Wkst'!$C$2:$C$15,0))+INDEX(ProposedLoansWkst!$E$2:$E$15,MATCH('Cash Flows'!J$6,ProposedLoansWkst!$C$2:$C$15,0))+INDEX(ProposedLoansWkst!$E$66:$E$79,MATCH('Cash Flows'!J$6,ProposedLoansWkst!$C$66:$C$79,0))+INDEX('Loans to Cash Flows Wkst'!$E$68:$E$81,MATCH('Cash Flows'!J$6,'Loans to Cash Flows Wkst'!$C$2:$C$15,0))</f>
        <v>0</v>
      </c>
      <c r="K61" s="507">
        <f>INDEX('Loans to Cash Flows Wkst'!$E$2:$E$15,MATCH('Cash Flows'!K6,'Loans to Cash Flows Wkst'!$C$2:$C$15,0))+INDEX(ProposedLoansWkst!$E$2:$E$15,MATCH('Cash Flows'!K$6,ProposedLoansWkst!$C$2:$C$15,0))+INDEX(ProposedLoansWkst!$E$66:$E$79,MATCH('Cash Flows'!K$6,ProposedLoansWkst!$C$66:$C$79,0))+INDEX('Loans to Cash Flows Wkst'!$E$68:$E$81,MATCH('Cash Flows'!K$6,'Loans to Cash Flows Wkst'!$C$2:$C$15,0))</f>
        <v>0</v>
      </c>
      <c r="L61" s="507">
        <f>INDEX('Loans to Cash Flows Wkst'!$E$2:$E$15,MATCH('Cash Flows'!L6,'Loans to Cash Flows Wkst'!$C$2:$C$15,0))+INDEX(ProposedLoansWkst!$E$2:$E$15,MATCH('Cash Flows'!L$6,ProposedLoansWkst!$C$2:$C$15,0))+INDEX(ProposedLoansWkst!$E$66:$E$79,MATCH('Cash Flows'!L$6,ProposedLoansWkst!$C$66:$C$79,0))+INDEX('Loans to Cash Flows Wkst'!$E$68:$E$81,MATCH('Cash Flows'!L$6,'Loans to Cash Flows Wkst'!$C$2:$C$15,0))</f>
        <v>0</v>
      </c>
      <c r="M61" s="507">
        <f>INDEX('Loans to Cash Flows Wkst'!$E$2:$E$15,MATCH('Cash Flows'!M6,'Loans to Cash Flows Wkst'!$C$2:$C$15,0))+INDEX(ProposedLoansWkst!$E$2:$E$15,MATCH('Cash Flows'!M$6,ProposedLoansWkst!$C$2:$C$15,0))+INDEX(ProposedLoansWkst!$E$66:$E$79,MATCH('Cash Flows'!M$6,ProposedLoansWkst!$C$66:$C$79,0))+INDEX('Loans to Cash Flows Wkst'!$E$68:$E$81,MATCH('Cash Flows'!M$6,'Loans to Cash Flows Wkst'!$C$2:$C$15,0))</f>
        <v>0</v>
      </c>
      <c r="N61" s="507">
        <f>INDEX('Loans to Cash Flows Wkst'!$E$2:$E$15,MATCH('Cash Flows'!N6,'Loans to Cash Flows Wkst'!$C$2:$C$15,0))+INDEX(ProposedLoansWkst!$E$2:$E$15,MATCH('Cash Flows'!N$6,ProposedLoansWkst!$C$2:$C$15,0))+INDEX(ProposedLoansWkst!$E$66:$E$79,MATCH('Cash Flows'!N$6,ProposedLoansWkst!$C$66:$C$79,0))+INDEX('Loans to Cash Flows Wkst'!$E$68:$E$81,MATCH('Cash Flows'!N$6,'Loans to Cash Flows Wkst'!$C$2:$C$15,0))</f>
        <v>0</v>
      </c>
      <c r="O61" s="507">
        <f>INDEX('Loans to Cash Flows Wkst'!$E$2:$E$15,MATCH('Cash Flows'!O6,'Loans to Cash Flows Wkst'!$C$2:$C$15,0))+INDEX(ProposedLoansWkst!$E$2:$E$15,MATCH('Cash Flows'!O$6,ProposedLoansWkst!$C$2:$C$15,0))+INDEX(ProposedLoansWkst!$E$66:$E$79,MATCH('Cash Flows'!O$6,ProposedLoansWkst!$C$66:$C$79,0))+INDEX('Loans to Cash Flows Wkst'!$E$68:$E$81,MATCH('Cash Flows'!O$6,'Loans to Cash Flows Wkst'!$C$2:$C$15,0))</f>
        <v>0</v>
      </c>
      <c r="P61" s="507">
        <f>INDEX('Loans to Cash Flows Wkst'!$E$2:$E$15,MATCH('Cash Flows'!P6,'Loans to Cash Flows Wkst'!$C$2:$C$15,0))+INDEX(ProposedLoansWkst!$E$2:$E$15,MATCH('Cash Flows'!P$6,ProposedLoansWkst!$C$2:$C$15,0))+INDEX(ProposedLoansWkst!$E$66:$E$79,MATCH('Cash Flows'!P$6,ProposedLoansWkst!$C$66:$C$79,0))+INDEX('Loans to Cash Flows Wkst'!$E$68:$E$81,MATCH('Cash Flows'!P$6,'Loans to Cash Flows Wkst'!$C$2:$C$15,0))</f>
        <v>0</v>
      </c>
      <c r="Q61" s="508">
        <f>INDEX('Loans to Cash Flows Wkst'!$E$2:$E$15,MATCH('Cash Flows'!Q6,'Loans to Cash Flows Wkst'!$C$2:$C$15,0))+INDEX(ProposedLoansWkst!$E$2:$E$15,MATCH('Cash Flows'!Q$6,ProposedLoansWkst!$C$2:$C$15,0))+INDEX(ProposedLoansWkst!$E$66:$E$79,MATCH('Cash Flows'!Q$6,ProposedLoansWkst!$C$66:$C$79,0))+INDEX('Loans to Cash Flows Wkst'!$E$68:$E$81,MATCH('Cash Flows'!Q$6,'Loans to Cash Flows Wkst'!$C$2:$C$15,0))</f>
        <v>0</v>
      </c>
    </row>
    <row r="62" spans="2:17" s="6" customFormat="1" x14ac:dyDescent="0.2">
      <c r="B62" s="251" t="s">
        <v>302</v>
      </c>
      <c r="C62" s="47"/>
      <c r="D62" s="400"/>
      <c r="E62" s="545">
        <f t="shared" si="4"/>
        <v>0</v>
      </c>
      <c r="F62" s="372"/>
      <c r="G62" s="383"/>
      <c r="H62" s="383"/>
      <c r="I62" s="383"/>
      <c r="J62" s="383"/>
      <c r="K62" s="383"/>
      <c r="L62" s="383"/>
      <c r="M62" s="383"/>
      <c r="N62" s="383"/>
      <c r="O62" s="383"/>
      <c r="P62" s="383"/>
      <c r="Q62" s="350"/>
    </row>
    <row r="63" spans="2:17" s="6" customFormat="1" x14ac:dyDescent="0.2">
      <c r="B63" s="253" t="s">
        <v>301</v>
      </c>
      <c r="C63" s="48"/>
      <c r="D63" s="399"/>
      <c r="E63" s="545">
        <f t="shared" si="4"/>
        <v>0</v>
      </c>
      <c r="F63" s="372"/>
      <c r="G63" s="383"/>
      <c r="H63" s="383"/>
      <c r="I63" s="383"/>
      <c r="J63" s="383"/>
      <c r="K63" s="383"/>
      <c r="L63" s="383"/>
      <c r="M63" s="383"/>
      <c r="N63" s="383"/>
      <c r="O63" s="383"/>
      <c r="P63" s="383"/>
      <c r="Q63" s="350"/>
    </row>
    <row r="64" spans="2:17" x14ac:dyDescent="0.2">
      <c r="B64" s="251" t="s">
        <v>66</v>
      </c>
      <c r="C64" s="60"/>
      <c r="D64" s="401"/>
      <c r="E64" s="545">
        <f t="shared" si="4"/>
        <v>0</v>
      </c>
      <c r="F64" s="372"/>
      <c r="G64" s="383"/>
      <c r="H64" s="383"/>
      <c r="I64" s="383"/>
      <c r="J64" s="383"/>
      <c r="K64" s="383"/>
      <c r="L64" s="383"/>
      <c r="M64" s="383"/>
      <c r="N64" s="383"/>
      <c r="O64" s="383"/>
      <c r="P64" s="383"/>
      <c r="Q64" s="350"/>
    </row>
    <row r="65" spans="1:17" x14ac:dyDescent="0.2">
      <c r="B65" s="607" t="s">
        <v>448</v>
      </c>
      <c r="C65" s="152"/>
      <c r="D65" s="403"/>
      <c r="E65" s="533">
        <f t="shared" si="4"/>
        <v>0</v>
      </c>
      <c r="F65" s="372"/>
      <c r="G65" s="383"/>
      <c r="H65" s="383"/>
      <c r="I65" s="383"/>
      <c r="J65" s="383"/>
      <c r="K65" s="383"/>
      <c r="L65" s="383"/>
      <c r="M65" s="383"/>
      <c r="N65" s="383"/>
      <c r="O65" s="383"/>
      <c r="P65" s="383"/>
      <c r="Q65" s="350"/>
    </row>
    <row r="66" spans="1:17" x14ac:dyDescent="0.2">
      <c r="B66" s="255" t="s">
        <v>540</v>
      </c>
      <c r="C66" s="164"/>
      <c r="D66" s="402">
        <f>SUM(D55:D65)</f>
        <v>0</v>
      </c>
      <c r="E66" s="530">
        <f t="shared" si="4"/>
        <v>0</v>
      </c>
      <c r="F66" s="373">
        <f t="shared" ref="F66:Q66" si="5">SUM(F55:F65)</f>
        <v>0</v>
      </c>
      <c r="G66" s="384">
        <f t="shared" si="5"/>
        <v>0</v>
      </c>
      <c r="H66" s="384">
        <f t="shared" si="5"/>
        <v>0</v>
      </c>
      <c r="I66" s="384">
        <f t="shared" si="5"/>
        <v>0</v>
      </c>
      <c r="J66" s="384">
        <f t="shared" si="5"/>
        <v>0</v>
      </c>
      <c r="K66" s="384">
        <f t="shared" si="5"/>
        <v>0</v>
      </c>
      <c r="L66" s="384">
        <f t="shared" si="5"/>
        <v>0</v>
      </c>
      <c r="M66" s="384">
        <f t="shared" si="5"/>
        <v>0</v>
      </c>
      <c r="N66" s="384">
        <f t="shared" si="5"/>
        <v>0</v>
      </c>
      <c r="O66" s="384">
        <f t="shared" si="5"/>
        <v>0</v>
      </c>
      <c r="P66" s="384">
        <f t="shared" si="5"/>
        <v>0</v>
      </c>
      <c r="Q66" s="351">
        <f t="shared" si="5"/>
        <v>0</v>
      </c>
    </row>
    <row r="67" spans="1:17" ht="3.6" customHeight="1" x14ac:dyDescent="0.2">
      <c r="B67" s="512"/>
      <c r="C67" s="513"/>
      <c r="D67" s="514"/>
      <c r="E67" s="534"/>
      <c r="F67" s="515"/>
      <c r="G67" s="516"/>
      <c r="H67" s="516"/>
      <c r="I67" s="516"/>
      <c r="J67" s="516"/>
      <c r="K67" s="516"/>
      <c r="L67" s="516"/>
      <c r="M67" s="516"/>
      <c r="N67" s="516"/>
      <c r="O67" s="516"/>
      <c r="P67" s="516"/>
      <c r="Q67" s="517"/>
    </row>
    <row r="68" spans="1:17" ht="13.5" thickBot="1" x14ac:dyDescent="0.25">
      <c r="B68" s="755" t="s">
        <v>465</v>
      </c>
      <c r="C68" s="756"/>
      <c r="D68" s="526">
        <f>D52+D66</f>
        <v>0</v>
      </c>
      <c r="E68" s="541">
        <f t="shared" si="4"/>
        <v>0</v>
      </c>
      <c r="F68" s="757">
        <f t="shared" ref="F68:Q68" si="6">F52+F66</f>
        <v>0</v>
      </c>
      <c r="G68" s="758">
        <f t="shared" si="6"/>
        <v>0</v>
      </c>
      <c r="H68" s="758">
        <f t="shared" si="6"/>
        <v>0</v>
      </c>
      <c r="I68" s="758">
        <f t="shared" si="6"/>
        <v>0</v>
      </c>
      <c r="J68" s="758">
        <f t="shared" si="6"/>
        <v>0</v>
      </c>
      <c r="K68" s="758">
        <f t="shared" si="6"/>
        <v>0</v>
      </c>
      <c r="L68" s="758">
        <f t="shared" si="6"/>
        <v>0</v>
      </c>
      <c r="M68" s="758">
        <f t="shared" si="6"/>
        <v>0</v>
      </c>
      <c r="N68" s="758">
        <f t="shared" si="6"/>
        <v>0</v>
      </c>
      <c r="O68" s="758">
        <f t="shared" si="6"/>
        <v>0</v>
      </c>
      <c r="P68" s="758">
        <f t="shared" si="6"/>
        <v>0</v>
      </c>
      <c r="Q68" s="759">
        <f t="shared" si="6"/>
        <v>0</v>
      </c>
    </row>
    <row r="69" spans="1:17" ht="3.75" customHeight="1" thickBot="1" x14ac:dyDescent="0.25">
      <c r="B69" s="10"/>
      <c r="C69" s="10"/>
      <c r="D69" s="287"/>
      <c r="E69" s="535"/>
      <c r="F69" s="374"/>
      <c r="G69" s="385"/>
      <c r="H69" s="385"/>
      <c r="I69" s="385"/>
      <c r="J69" s="385"/>
      <c r="K69" s="385"/>
      <c r="L69" s="385"/>
      <c r="M69" s="385"/>
      <c r="N69" s="385"/>
      <c r="O69" s="385"/>
      <c r="P69" s="385"/>
      <c r="Q69" s="352"/>
    </row>
    <row r="70" spans="1:17" ht="15.75" customHeight="1" x14ac:dyDescent="0.2">
      <c r="A70" s="520"/>
      <c r="B70" s="521"/>
      <c r="C70" s="519"/>
      <c r="D70" s="379">
        <f>$D$5</f>
        <v>2016</v>
      </c>
      <c r="E70" s="536" t="s">
        <v>16</v>
      </c>
      <c r="F70" s="368" t="s">
        <v>5</v>
      </c>
      <c r="G70" s="379" t="s">
        <v>6</v>
      </c>
      <c r="H70" s="390" t="s">
        <v>7</v>
      </c>
      <c r="I70" s="390" t="s">
        <v>8</v>
      </c>
      <c r="J70" s="390" t="s">
        <v>4</v>
      </c>
      <c r="K70" s="390" t="s">
        <v>9</v>
      </c>
      <c r="L70" s="390" t="s">
        <v>10</v>
      </c>
      <c r="M70" s="390" t="s">
        <v>11</v>
      </c>
      <c r="N70" s="390" t="s">
        <v>12</v>
      </c>
      <c r="O70" s="390" t="s">
        <v>13</v>
      </c>
      <c r="P70" s="390" t="s">
        <v>14</v>
      </c>
      <c r="Q70" s="271" t="s">
        <v>15</v>
      </c>
    </row>
    <row r="71" spans="1:17" ht="12.75" customHeight="1" x14ac:dyDescent="0.2">
      <c r="B71" s="492" t="s">
        <v>240</v>
      </c>
      <c r="C71" s="10"/>
      <c r="D71" s="287"/>
      <c r="E71" s="547"/>
      <c r="F71" s="374"/>
      <c r="G71" s="385"/>
      <c r="H71" s="385"/>
      <c r="I71" s="385"/>
      <c r="J71" s="385"/>
      <c r="K71" s="385"/>
      <c r="L71" s="385"/>
      <c r="M71" s="385"/>
      <c r="N71" s="385"/>
      <c r="O71" s="385"/>
      <c r="P71" s="385"/>
      <c r="Q71" s="356"/>
    </row>
    <row r="72" spans="1:17" x14ac:dyDescent="0.2">
      <c r="B72" s="259" t="s">
        <v>425</v>
      </c>
      <c r="C72" s="161"/>
      <c r="D72" s="394"/>
      <c r="E72" s="546">
        <f>SUM(F72:Q72)</f>
        <v>0</v>
      </c>
      <c r="F72" s="503">
        <f>INDEX('Loans to Cash Flows Wkst'!$D$2:$D$15,MATCH('Cash Flows'!F$6,'Loans to Cash Flows Wkst'!$C$2:$C$15,0))+INDEX(ProposedLoansWkst!$D$2:$D$15,MATCH('Cash Flows'!F$6,ProposedLoansWkst!$C$2:$C$15,0))</f>
        <v>0</v>
      </c>
      <c r="G72" s="504">
        <f>INDEX('Loans to Cash Flows Wkst'!$D$2:$D$15,MATCH('Cash Flows'!G$6,'Loans to Cash Flows Wkst'!$C$2:$C$15,0))+INDEX(ProposedLoansWkst!$D$2:$D$15,MATCH('Cash Flows'!G$6,ProposedLoansWkst!$C$2:$C$15,0))</f>
        <v>0</v>
      </c>
      <c r="H72" s="504">
        <f>INDEX('Loans to Cash Flows Wkst'!$D$2:$D$15,MATCH('Cash Flows'!H$6,'Loans to Cash Flows Wkst'!$C$2:$C$15,0))+INDEX(ProposedLoansWkst!$D$2:$D$15,MATCH('Cash Flows'!H$6,ProposedLoansWkst!$C$2:$C$15,0))</f>
        <v>0</v>
      </c>
      <c r="I72" s="504">
        <f>INDEX('Loans to Cash Flows Wkst'!$D$2:$D$15,MATCH('Cash Flows'!I$6,'Loans to Cash Flows Wkst'!$C$2:$C$15,0))+INDEX(ProposedLoansWkst!$D$2:$D$15,MATCH('Cash Flows'!I$6,ProposedLoansWkst!$C$2:$C$15,0))</f>
        <v>0</v>
      </c>
      <c r="J72" s="504">
        <f>INDEX('Loans to Cash Flows Wkst'!$D$2:$D$15,MATCH('Cash Flows'!J$6,'Loans to Cash Flows Wkst'!$C$2:$C$15,0))+INDEX(ProposedLoansWkst!$D$2:$D$15,MATCH('Cash Flows'!J$6,ProposedLoansWkst!$C$2:$C$15,0))</f>
        <v>0</v>
      </c>
      <c r="K72" s="504">
        <f>INDEX('Loans to Cash Flows Wkst'!$D$2:$D$15,MATCH('Cash Flows'!K$6,'Loans to Cash Flows Wkst'!$C$2:$C$15,0))+INDEX(ProposedLoansWkst!$D$2:$D$15,MATCH('Cash Flows'!K$6,ProposedLoansWkst!$C$2:$C$15,0))</f>
        <v>0</v>
      </c>
      <c r="L72" s="504">
        <f>INDEX('Loans to Cash Flows Wkst'!$D$2:$D$15,MATCH('Cash Flows'!L$6,'Loans to Cash Flows Wkst'!$C$2:$C$15,0))+INDEX(ProposedLoansWkst!$D$2:$D$15,MATCH('Cash Flows'!L$6,ProposedLoansWkst!$C$2:$C$15,0))</f>
        <v>0</v>
      </c>
      <c r="M72" s="504">
        <f>INDEX('Loans to Cash Flows Wkst'!$D$2:$D$15,MATCH('Cash Flows'!M$6,'Loans to Cash Flows Wkst'!$C$2:$C$15,0))+INDEX(ProposedLoansWkst!$D$2:$D$15,MATCH('Cash Flows'!M$6,ProposedLoansWkst!$C$2:$C$15,0))</f>
        <v>0</v>
      </c>
      <c r="N72" s="504">
        <f>INDEX('Loans to Cash Flows Wkst'!$D$2:$D$15,MATCH('Cash Flows'!N$6,'Loans to Cash Flows Wkst'!$C$2:$C$15,0))+INDEX(ProposedLoansWkst!$D$2:$D$15,MATCH('Cash Flows'!N$6,ProposedLoansWkst!$C$2:$C$15,0))</f>
        <v>0</v>
      </c>
      <c r="O72" s="504">
        <f>INDEX('Loans to Cash Flows Wkst'!$D$2:$D$15,MATCH('Cash Flows'!O$6,'Loans to Cash Flows Wkst'!$C$2:$C$15,0))+INDEX(ProposedLoansWkst!$D$2:$D$15,MATCH('Cash Flows'!O$6,ProposedLoansWkst!$C$2:$C$15,0))</f>
        <v>0</v>
      </c>
      <c r="P72" s="504">
        <f>INDEX('Loans to Cash Flows Wkst'!$D$2:$D$15,MATCH('Cash Flows'!P$6,'Loans to Cash Flows Wkst'!$C$2:$C$15,0))+INDEX(ProposedLoansWkst!$D$2:$D$15,MATCH('Cash Flows'!P$6,ProposedLoansWkst!$C$2:$C$15,0))</f>
        <v>0</v>
      </c>
      <c r="Q72" s="505">
        <f>INDEX('Loans to Cash Flows Wkst'!$D$2:$D$15,MATCH('Cash Flows'!Q$6,'Loans to Cash Flows Wkst'!$C$2:$C$15,0))+INDEX(ProposedLoansWkst!$D$2:$D$15,MATCH('Cash Flows'!Q$6,ProposedLoansWkst!$C$2:$C$15,0))</f>
        <v>0</v>
      </c>
    </row>
    <row r="73" spans="1:17" x14ac:dyDescent="0.2">
      <c r="B73" s="259" t="s">
        <v>426</v>
      </c>
      <c r="C73" s="161"/>
      <c r="D73" s="394"/>
      <c r="E73" s="546">
        <f>SUM(F73:Q73)</f>
        <v>0</v>
      </c>
      <c r="F73" s="503">
        <f>INDEX(ProposedLoansWkst!$D$66:$D$79,MATCH('Cash Flows'!F$6,ProposedLoansWkst!$C$66:$C$79,0))+INDEX('Loans to Cash Flows Wkst'!$D$68:$D$81,MATCH('Cash Flows'!F$6,'Loans to Cash Flows Wkst'!$C$2:$C$15,0))</f>
        <v>0</v>
      </c>
      <c r="G73" s="504">
        <f>INDEX(ProposedLoansWkst!$D$66:$D$79,MATCH('Cash Flows'!G$6,ProposedLoansWkst!$C$66:$C$79,0))+INDEX('Loans to Cash Flows Wkst'!$D$68:$D$81,MATCH('Cash Flows'!G$6,'Loans to Cash Flows Wkst'!$C$2:$C$15,0))</f>
        <v>0</v>
      </c>
      <c r="H73" s="504">
        <f>INDEX(ProposedLoansWkst!$D$66:$D$79,MATCH('Cash Flows'!H$6,ProposedLoansWkst!$C$66:$C$79,0))+INDEX('Loans to Cash Flows Wkst'!$D$68:$D$81,MATCH('Cash Flows'!H$6,'Loans to Cash Flows Wkst'!$C$2:$C$15,0))</f>
        <v>0</v>
      </c>
      <c r="I73" s="504">
        <f>INDEX(ProposedLoansWkst!$D$66:$D$79,MATCH('Cash Flows'!I$6,ProposedLoansWkst!$C$66:$C$79,0))+INDEX('Loans to Cash Flows Wkst'!$D$68:$D$81,MATCH('Cash Flows'!I$6,'Loans to Cash Flows Wkst'!$C$2:$C$15,0))</f>
        <v>0</v>
      </c>
      <c r="J73" s="504">
        <f>INDEX(ProposedLoansWkst!$D$66:$D$79,MATCH('Cash Flows'!J$6,ProposedLoansWkst!$C$66:$C$79,0))+INDEX('Loans to Cash Flows Wkst'!$D$68:$D$81,MATCH('Cash Flows'!J$6,'Loans to Cash Flows Wkst'!$C$2:$C$15,0))</f>
        <v>0</v>
      </c>
      <c r="K73" s="504">
        <f>INDEX(ProposedLoansWkst!$D$66:$D$79,MATCH('Cash Flows'!K$6,ProposedLoansWkst!$C$66:$C$79,0))+INDEX('Loans to Cash Flows Wkst'!$D$68:$D$81,MATCH('Cash Flows'!K$6,'Loans to Cash Flows Wkst'!$C$2:$C$15,0))</f>
        <v>0</v>
      </c>
      <c r="L73" s="504">
        <f>INDEX(ProposedLoansWkst!$D$66:$D$79,MATCH('Cash Flows'!L$6,ProposedLoansWkst!$C$66:$C$79,0))+INDEX('Loans to Cash Flows Wkst'!$D$68:$D$81,MATCH('Cash Flows'!L$6,'Loans to Cash Flows Wkst'!$C$2:$C$15,0))</f>
        <v>0</v>
      </c>
      <c r="M73" s="504">
        <f>INDEX(ProposedLoansWkst!$D$66:$D$79,MATCH('Cash Flows'!M$6,ProposedLoansWkst!$C$66:$C$79,0))+INDEX('Loans to Cash Flows Wkst'!$D$68:$D$81,MATCH('Cash Flows'!M$6,'Loans to Cash Flows Wkst'!$C$2:$C$15,0))</f>
        <v>0</v>
      </c>
      <c r="N73" s="504">
        <f>INDEX(ProposedLoansWkst!$D$66:$D$79,MATCH('Cash Flows'!N$6,ProposedLoansWkst!$C$66:$C$79,0))+INDEX('Loans to Cash Flows Wkst'!$D$68:$D$81,MATCH('Cash Flows'!N$6,'Loans to Cash Flows Wkst'!$C$2:$C$15,0))</f>
        <v>0</v>
      </c>
      <c r="O73" s="504">
        <f>INDEX(ProposedLoansWkst!$D$66:$D$79,MATCH('Cash Flows'!O$6,ProposedLoansWkst!$C$66:$C$79,0))+INDEX('Loans to Cash Flows Wkst'!$D$68:$D$81,MATCH('Cash Flows'!O$6,'Loans to Cash Flows Wkst'!$C$2:$C$15,0))</f>
        <v>0</v>
      </c>
      <c r="P73" s="504">
        <f>INDEX(ProposedLoansWkst!$D$66:$D$79,MATCH('Cash Flows'!P$6,ProposedLoansWkst!$C$66:$C$79,0))+INDEX('Loans to Cash Flows Wkst'!$D$68:$D$81,MATCH('Cash Flows'!P$6,'Loans to Cash Flows Wkst'!$C$2:$C$15,0))</f>
        <v>0</v>
      </c>
      <c r="Q73" s="505">
        <f>INDEX(ProposedLoansWkst!$D$66:$D$79,MATCH('Cash Flows'!Q$6,ProposedLoansWkst!$C$66:$C$79,0))+INDEX('Loans to Cash Flows Wkst'!$D$68:$D$81,MATCH('Cash Flows'!Q$6,'Loans to Cash Flows Wkst'!$C$2:$C$15,0))</f>
        <v>0</v>
      </c>
    </row>
    <row r="74" spans="1:17" x14ac:dyDescent="0.2">
      <c r="B74" s="260" t="s">
        <v>133</v>
      </c>
      <c r="C74" s="161"/>
      <c r="D74" s="394"/>
      <c r="E74" s="546">
        <f>SUM(F74:Q74)</f>
        <v>0</v>
      </c>
      <c r="F74" s="503">
        <f>+INDEX(ProposedLoansWkst!$F$2:$F$15,MATCH('Cash Flows'!F$6,ProposedLoansWkst!$C$2:$C$15,0))</f>
        <v>0</v>
      </c>
      <c r="G74" s="504">
        <f>+INDEX(ProposedLoansWkst!$F$2:$F$15,MATCH('Cash Flows'!G$6,ProposedLoansWkst!$C$2:$C$15,0))</f>
        <v>0</v>
      </c>
      <c r="H74" s="504">
        <f>+INDEX(ProposedLoansWkst!$F$2:$F$15,MATCH('Cash Flows'!H$6,ProposedLoansWkst!$C$2:$C$15,0))</f>
        <v>0</v>
      </c>
      <c r="I74" s="504">
        <f>+INDEX(ProposedLoansWkst!$F$2:$F$15,MATCH('Cash Flows'!I$6,ProposedLoansWkst!$C$2:$C$15,0))</f>
        <v>0</v>
      </c>
      <c r="J74" s="504">
        <f>+INDEX(ProposedLoansWkst!$F$2:$F$15,MATCH('Cash Flows'!J$6,ProposedLoansWkst!$C$2:$C$15,0))</f>
        <v>0</v>
      </c>
      <c r="K74" s="504">
        <f>+INDEX(ProposedLoansWkst!$F$2:$F$15,MATCH('Cash Flows'!K$6,ProposedLoansWkst!$C$2:$C$15,0))</f>
        <v>0</v>
      </c>
      <c r="L74" s="504">
        <f>+INDEX(ProposedLoansWkst!$F$2:$F$15,MATCH('Cash Flows'!L$6,ProposedLoansWkst!$C$2:$C$15,0))</f>
        <v>0</v>
      </c>
      <c r="M74" s="504">
        <f>+INDEX(ProposedLoansWkst!$F$2:$F$15,MATCH('Cash Flows'!M$6,ProposedLoansWkst!$C$2:$C$15,0))</f>
        <v>0</v>
      </c>
      <c r="N74" s="504">
        <f>+INDEX(ProposedLoansWkst!$F$2:$F$15,MATCH('Cash Flows'!N$6,ProposedLoansWkst!$C$2:$C$15,0))</f>
        <v>0</v>
      </c>
      <c r="O74" s="504">
        <f>+INDEX(ProposedLoansWkst!$F$2:$F$15,MATCH('Cash Flows'!O$6,ProposedLoansWkst!$C$2:$C$15,0))</f>
        <v>0</v>
      </c>
      <c r="P74" s="504">
        <f>+INDEX(ProposedLoansWkst!$F$2:$F$15,MATCH('Cash Flows'!P$6,ProposedLoansWkst!$C$2:$C$15,0))</f>
        <v>0</v>
      </c>
      <c r="Q74" s="505">
        <f>+INDEX(ProposedLoansWkst!$F$2:$F$15,MATCH('Cash Flows'!Q$6,ProposedLoansWkst!$C$2:$C$15,0))</f>
        <v>0</v>
      </c>
    </row>
    <row r="75" spans="1:17" x14ac:dyDescent="0.2">
      <c r="B75" s="260" t="s">
        <v>219</v>
      </c>
      <c r="C75" s="161"/>
      <c r="D75" s="394"/>
      <c r="E75" s="546">
        <f>SUM(F75:Q75)</f>
        <v>0</v>
      </c>
      <c r="F75" s="503">
        <f>+INDEX(ProposedLoansWkst!$F$66:$F$79,MATCH('Cash Flows'!F$6,ProposedLoansWkst!$C$66:$C$79,0))</f>
        <v>0</v>
      </c>
      <c r="G75" s="504">
        <f>+INDEX(ProposedLoansWkst!$F$66:$F$79,MATCH('Cash Flows'!G$6,ProposedLoansWkst!$C$66:$C$79,0))</f>
        <v>0</v>
      </c>
      <c r="H75" s="504">
        <f>+INDEX(ProposedLoansWkst!$F$66:$F$79,MATCH('Cash Flows'!H$6,ProposedLoansWkst!$C$66:$C$79,0))</f>
        <v>0</v>
      </c>
      <c r="I75" s="504">
        <f>+INDEX(ProposedLoansWkst!$F$66:$F$79,MATCH('Cash Flows'!I$6,ProposedLoansWkst!$C$66:$C$79,0))</f>
        <v>0</v>
      </c>
      <c r="J75" s="504">
        <f>+INDEX(ProposedLoansWkst!$F$66:$F$79,MATCH('Cash Flows'!J$6,ProposedLoansWkst!$C$66:$C$79,0))</f>
        <v>0</v>
      </c>
      <c r="K75" s="504">
        <f>+INDEX(ProposedLoansWkst!$F$66:$F$79,MATCH('Cash Flows'!K$6,ProposedLoansWkst!$C$66:$C$79,0))</f>
        <v>0</v>
      </c>
      <c r="L75" s="504">
        <f>+INDEX(ProposedLoansWkst!$F$66:$F$79,MATCH('Cash Flows'!L$6,ProposedLoansWkst!$C$66:$C$79,0))</f>
        <v>0</v>
      </c>
      <c r="M75" s="504">
        <f>+INDEX(ProposedLoansWkst!$F$66:$F$79,MATCH('Cash Flows'!M$6,ProposedLoansWkst!$C$66:$C$79,0))</f>
        <v>0</v>
      </c>
      <c r="N75" s="504">
        <f>+INDEX(ProposedLoansWkst!$F$66:$F$79,MATCH('Cash Flows'!N$6,ProposedLoansWkst!$C$66:$C$79,0))</f>
        <v>0</v>
      </c>
      <c r="O75" s="504">
        <f>+INDEX(ProposedLoansWkst!$F$66:$F$79,MATCH('Cash Flows'!O$6,ProposedLoansWkst!$C$66:$C$79,0))</f>
        <v>0</v>
      </c>
      <c r="P75" s="504">
        <f>+INDEX(ProposedLoansWkst!$F$66:$F$79,MATCH('Cash Flows'!P$6,ProposedLoansWkst!$C$66:$C$79,0))</f>
        <v>0</v>
      </c>
      <c r="Q75" s="505">
        <f>+INDEX(ProposedLoansWkst!$F$66:$F$79,MATCH('Cash Flows'!Q$6,ProposedLoansWkst!$C$66:$C$79,0))</f>
        <v>0</v>
      </c>
    </row>
    <row r="76" spans="1:17" ht="3.95" customHeight="1" x14ac:dyDescent="0.2">
      <c r="B76" s="256"/>
      <c r="C76" s="10"/>
      <c r="D76" s="287"/>
      <c r="E76" s="547"/>
      <c r="F76" s="374"/>
      <c r="G76" s="385"/>
      <c r="H76" s="385"/>
      <c r="I76" s="385"/>
      <c r="J76" s="385"/>
      <c r="K76" s="385"/>
      <c r="L76" s="385"/>
      <c r="M76" s="385"/>
      <c r="N76" s="385"/>
      <c r="O76" s="385"/>
      <c r="P76" s="385"/>
      <c r="Q76" s="356"/>
    </row>
    <row r="77" spans="1:17" s="13" customFormat="1" ht="13.5" thickBot="1" x14ac:dyDescent="0.25">
      <c r="B77" s="257" t="s">
        <v>242</v>
      </c>
      <c r="C77" s="165"/>
      <c r="D77" s="404">
        <f>(D22-D68-D72-D73+D74+D75)</f>
        <v>0</v>
      </c>
      <c r="E77" s="548">
        <f>(E22-E68-E72-E73+E74+E75)</f>
        <v>0</v>
      </c>
      <c r="F77" s="376">
        <f t="shared" ref="F77:Q77" si="7">(F22-F68-F72-F73+F74+F75)</f>
        <v>0</v>
      </c>
      <c r="G77" s="387">
        <f t="shared" si="7"/>
        <v>0</v>
      </c>
      <c r="H77" s="387">
        <f t="shared" si="7"/>
        <v>0</v>
      </c>
      <c r="I77" s="387">
        <f t="shared" si="7"/>
        <v>0</v>
      </c>
      <c r="J77" s="387">
        <f t="shared" si="7"/>
        <v>0</v>
      </c>
      <c r="K77" s="387">
        <f t="shared" si="7"/>
        <v>0</v>
      </c>
      <c r="L77" s="387">
        <f t="shared" si="7"/>
        <v>0</v>
      </c>
      <c r="M77" s="387">
        <f t="shared" si="7"/>
        <v>0</v>
      </c>
      <c r="N77" s="387">
        <f t="shared" si="7"/>
        <v>0</v>
      </c>
      <c r="O77" s="387">
        <f t="shared" si="7"/>
        <v>0</v>
      </c>
      <c r="P77" s="387">
        <f t="shared" si="7"/>
        <v>0</v>
      </c>
      <c r="Q77" s="357">
        <f t="shared" si="7"/>
        <v>0</v>
      </c>
    </row>
    <row r="78" spans="1:17" s="13" customFormat="1" ht="5.0999999999999996" customHeight="1" thickTop="1" x14ac:dyDescent="0.2">
      <c r="B78" s="493"/>
      <c r="C78" s="494"/>
      <c r="D78" s="641"/>
      <c r="E78" s="538"/>
      <c r="F78" s="495"/>
      <c r="G78" s="496"/>
      <c r="H78" s="496"/>
      <c r="I78" s="496"/>
      <c r="J78" s="496"/>
      <c r="K78" s="496"/>
      <c r="L78" s="496"/>
      <c r="M78" s="496"/>
      <c r="N78" s="496"/>
      <c r="O78" s="496"/>
      <c r="P78" s="496"/>
      <c r="Q78" s="497"/>
    </row>
    <row r="79" spans="1:17" ht="15" customHeight="1" thickBot="1" x14ac:dyDescent="0.25">
      <c r="B79" s="267" t="s">
        <v>243</v>
      </c>
      <c r="C79" s="268"/>
      <c r="D79" s="642"/>
      <c r="E79" s="539"/>
      <c r="F79" s="378">
        <f>F77</f>
        <v>0</v>
      </c>
      <c r="G79" s="389">
        <f>F79+G77</f>
        <v>0</v>
      </c>
      <c r="H79" s="389">
        <f t="shared" ref="H79:Q79" si="8">G79+H77</f>
        <v>0</v>
      </c>
      <c r="I79" s="389">
        <f t="shared" si="8"/>
        <v>0</v>
      </c>
      <c r="J79" s="389">
        <f t="shared" si="8"/>
        <v>0</v>
      </c>
      <c r="K79" s="389">
        <f t="shared" si="8"/>
        <v>0</v>
      </c>
      <c r="L79" s="389">
        <f t="shared" si="8"/>
        <v>0</v>
      </c>
      <c r="M79" s="389">
        <f t="shared" si="8"/>
        <v>0</v>
      </c>
      <c r="N79" s="389">
        <f t="shared" si="8"/>
        <v>0</v>
      </c>
      <c r="O79" s="389">
        <f t="shared" si="8"/>
        <v>0</v>
      </c>
      <c r="P79" s="389">
        <f t="shared" si="8"/>
        <v>0</v>
      </c>
      <c r="Q79" s="359">
        <f t="shared" si="8"/>
        <v>0</v>
      </c>
    </row>
    <row r="80" spans="1:17" ht="5.25" customHeight="1" x14ac:dyDescent="0.2">
      <c r="B80" s="258"/>
      <c r="C80" s="13"/>
      <c r="D80" s="405"/>
      <c r="E80" s="531"/>
      <c r="F80" s="374"/>
      <c r="G80" s="385"/>
      <c r="H80" s="393"/>
      <c r="I80" s="393"/>
      <c r="J80" s="393"/>
      <c r="K80" s="393"/>
      <c r="L80" s="393"/>
      <c r="M80" s="393"/>
      <c r="N80" s="393"/>
      <c r="O80" s="393"/>
      <c r="P80" s="393"/>
      <c r="Q80" s="354"/>
    </row>
    <row r="81" spans="2:17" x14ac:dyDescent="0.2">
      <c r="B81" s="258" t="s">
        <v>244</v>
      </c>
      <c r="C81" s="13"/>
      <c r="D81" s="405"/>
      <c r="E81" s="531"/>
      <c r="F81" s="374"/>
      <c r="G81" s="385"/>
      <c r="H81" s="393"/>
      <c r="I81" s="393"/>
      <c r="J81" s="393"/>
      <c r="K81" s="393"/>
      <c r="L81" s="393"/>
      <c r="M81" s="393"/>
      <c r="N81" s="393"/>
      <c r="O81" s="393"/>
      <c r="P81" s="393"/>
      <c r="Q81" s="354"/>
    </row>
    <row r="82" spans="2:17" x14ac:dyDescent="0.2">
      <c r="B82" s="247" t="s">
        <v>553</v>
      </c>
      <c r="C82" s="13"/>
      <c r="D82" s="621">
        <f>IF(D22&lt;&gt;0,(0.05*(D22-D14-D18-D19+D89+D90+D91+D93))+(25000*NumberOperatorsValue),0)</f>
        <v>0</v>
      </c>
      <c r="E82" s="615">
        <f t="shared" ref="E82:E93" si="9">SUM(F82:Q82)</f>
        <v>0</v>
      </c>
      <c r="F82" s="618">
        <f>IF(F22&lt;&gt;0,(0.05*(F22-F14-F18-F19+F89+F90+F91+F93))+((25000/(IF(SUM(G22:Q22)&gt;0,12,1))*NumberOperatorsValue)),0)</f>
        <v>0</v>
      </c>
      <c r="G82" s="619">
        <f t="shared" ref="G82:Q82" si="10">IF(G22&lt;&gt;0,(0.05*(G22-G14-G18-G19+G89+G90+G91+G93))+((25000/12)*NumberOperatorsValue),0)</f>
        <v>0</v>
      </c>
      <c r="H82" s="619">
        <f t="shared" si="10"/>
        <v>0</v>
      </c>
      <c r="I82" s="619">
        <f t="shared" si="10"/>
        <v>0</v>
      </c>
      <c r="J82" s="619">
        <f t="shared" si="10"/>
        <v>0</v>
      </c>
      <c r="K82" s="619">
        <f t="shared" si="10"/>
        <v>0</v>
      </c>
      <c r="L82" s="619">
        <f t="shared" si="10"/>
        <v>0</v>
      </c>
      <c r="M82" s="619">
        <f t="shared" si="10"/>
        <v>0</v>
      </c>
      <c r="N82" s="619">
        <f t="shared" si="10"/>
        <v>0</v>
      </c>
      <c r="O82" s="619">
        <f t="shared" si="10"/>
        <v>0</v>
      </c>
      <c r="P82" s="619">
        <f t="shared" si="10"/>
        <v>0</v>
      </c>
      <c r="Q82" s="620">
        <f t="shared" si="10"/>
        <v>0</v>
      </c>
    </row>
    <row r="83" spans="2:17" s="6" customFormat="1" x14ac:dyDescent="0.2">
      <c r="B83" s="509" t="s">
        <v>288</v>
      </c>
      <c r="C83" s="61"/>
      <c r="D83" s="643"/>
      <c r="E83" s="533">
        <f t="shared" si="9"/>
        <v>0</v>
      </c>
      <c r="F83" s="372"/>
      <c r="G83" s="383"/>
      <c r="H83" s="383"/>
      <c r="I83" s="383"/>
      <c r="J83" s="383"/>
      <c r="K83" s="383"/>
      <c r="L83" s="383"/>
      <c r="M83" s="383"/>
      <c r="N83" s="383"/>
      <c r="O83" s="383"/>
      <c r="P83" s="383"/>
      <c r="Q83" s="350"/>
    </row>
    <row r="84" spans="2:17" s="6" customFormat="1" x14ac:dyDescent="0.2">
      <c r="B84" s="509" t="s">
        <v>289</v>
      </c>
      <c r="C84" s="49"/>
      <c r="D84" s="399"/>
      <c r="E84" s="533">
        <f t="shared" si="9"/>
        <v>0</v>
      </c>
      <c r="F84" s="372"/>
      <c r="G84" s="383"/>
      <c r="H84" s="383"/>
      <c r="I84" s="383"/>
      <c r="J84" s="383"/>
      <c r="K84" s="383"/>
      <c r="L84" s="383"/>
      <c r="M84" s="383"/>
      <c r="N84" s="383"/>
      <c r="O84" s="383"/>
      <c r="P84" s="383"/>
      <c r="Q84" s="350"/>
    </row>
    <row r="85" spans="2:17" s="6" customFormat="1" x14ac:dyDescent="0.2">
      <c r="B85" s="509" t="s">
        <v>290</v>
      </c>
      <c r="C85" s="49"/>
      <c r="D85" s="399"/>
      <c r="E85" s="533">
        <f t="shared" si="9"/>
        <v>0</v>
      </c>
      <c r="F85" s="372"/>
      <c r="G85" s="383"/>
      <c r="H85" s="383"/>
      <c r="I85" s="383"/>
      <c r="J85" s="383"/>
      <c r="K85" s="383"/>
      <c r="L85" s="383"/>
      <c r="M85" s="383"/>
      <c r="N85" s="383"/>
      <c r="O85" s="383"/>
      <c r="P85" s="383"/>
      <c r="Q85" s="350"/>
    </row>
    <row r="86" spans="2:17" x14ac:dyDescent="0.2">
      <c r="B86" s="261" t="s">
        <v>338</v>
      </c>
      <c r="C86" s="162"/>
      <c r="D86" s="406"/>
      <c r="E86" s="533">
        <f t="shared" si="9"/>
        <v>0</v>
      </c>
      <c r="F86" s="372"/>
      <c r="G86" s="383"/>
      <c r="H86" s="383"/>
      <c r="I86" s="383"/>
      <c r="J86" s="383"/>
      <c r="K86" s="383"/>
      <c r="L86" s="383"/>
      <c r="M86" s="383"/>
      <c r="N86" s="383"/>
      <c r="O86" s="383"/>
      <c r="P86" s="383"/>
      <c r="Q86" s="350"/>
    </row>
    <row r="87" spans="2:17" x14ac:dyDescent="0.2">
      <c r="B87" s="259" t="s">
        <v>340</v>
      </c>
      <c r="C87" s="161"/>
      <c r="D87" s="394"/>
      <c r="E87" s="533">
        <f t="shared" si="9"/>
        <v>0</v>
      </c>
      <c r="F87" s="372"/>
      <c r="G87" s="383"/>
      <c r="H87" s="383"/>
      <c r="I87" s="383"/>
      <c r="J87" s="383"/>
      <c r="K87" s="383"/>
      <c r="L87" s="383"/>
      <c r="M87" s="383"/>
      <c r="N87" s="383"/>
      <c r="O87" s="383"/>
      <c r="P87" s="383"/>
      <c r="Q87" s="350"/>
    </row>
    <row r="88" spans="2:17" x14ac:dyDescent="0.2">
      <c r="B88" s="259" t="s">
        <v>291</v>
      </c>
      <c r="C88" s="161"/>
      <c r="D88" s="394"/>
      <c r="E88" s="533">
        <f t="shared" si="9"/>
        <v>0</v>
      </c>
      <c r="F88" s="372"/>
      <c r="G88" s="383"/>
      <c r="H88" s="383"/>
      <c r="I88" s="383"/>
      <c r="J88" s="383"/>
      <c r="K88" s="383"/>
      <c r="L88" s="383"/>
      <c r="M88" s="383"/>
      <c r="N88" s="383"/>
      <c r="O88" s="383"/>
      <c r="P88" s="383"/>
      <c r="Q88" s="350"/>
    </row>
    <row r="89" spans="2:17" x14ac:dyDescent="0.2">
      <c r="B89" s="260" t="s">
        <v>377</v>
      </c>
      <c r="C89" s="55"/>
      <c r="D89" s="511">
        <f>D18-D86</f>
        <v>0</v>
      </c>
      <c r="E89" s="533">
        <f t="shared" si="9"/>
        <v>0</v>
      </c>
      <c r="F89" s="506">
        <f t="shared" ref="F89:Q89" si="11">F18-F86</f>
        <v>0</v>
      </c>
      <c r="G89" s="507">
        <f t="shared" si="11"/>
        <v>0</v>
      </c>
      <c r="H89" s="507">
        <f t="shared" si="11"/>
        <v>0</v>
      </c>
      <c r="I89" s="507">
        <f t="shared" si="11"/>
        <v>0</v>
      </c>
      <c r="J89" s="507">
        <f t="shared" si="11"/>
        <v>0</v>
      </c>
      <c r="K89" s="507">
        <f t="shared" si="11"/>
        <v>0</v>
      </c>
      <c r="L89" s="507">
        <f t="shared" si="11"/>
        <v>0</v>
      </c>
      <c r="M89" s="507">
        <f t="shared" si="11"/>
        <v>0</v>
      </c>
      <c r="N89" s="507">
        <f t="shared" si="11"/>
        <v>0</v>
      </c>
      <c r="O89" s="507">
        <f t="shared" si="11"/>
        <v>0</v>
      </c>
      <c r="P89" s="507">
        <f t="shared" si="11"/>
        <v>0</v>
      </c>
      <c r="Q89" s="508">
        <f t="shared" si="11"/>
        <v>0</v>
      </c>
    </row>
    <row r="90" spans="2:17" x14ac:dyDescent="0.2">
      <c r="B90" s="260" t="s">
        <v>378</v>
      </c>
      <c r="C90" s="55"/>
      <c r="D90" s="511">
        <f>D14-D87</f>
        <v>0</v>
      </c>
      <c r="E90" s="533">
        <f t="shared" si="9"/>
        <v>0</v>
      </c>
      <c r="F90" s="506">
        <f t="shared" ref="F90:Q90" si="12">F14-F87</f>
        <v>0</v>
      </c>
      <c r="G90" s="507">
        <f t="shared" si="12"/>
        <v>0</v>
      </c>
      <c r="H90" s="507">
        <f t="shared" si="12"/>
        <v>0</v>
      </c>
      <c r="I90" s="507">
        <f t="shared" si="12"/>
        <v>0</v>
      </c>
      <c r="J90" s="507">
        <f t="shared" si="12"/>
        <v>0</v>
      </c>
      <c r="K90" s="507">
        <f t="shared" si="12"/>
        <v>0</v>
      </c>
      <c r="L90" s="507">
        <f t="shared" si="12"/>
        <v>0</v>
      </c>
      <c r="M90" s="507">
        <f t="shared" si="12"/>
        <v>0</v>
      </c>
      <c r="N90" s="507">
        <f t="shared" si="12"/>
        <v>0</v>
      </c>
      <c r="O90" s="507">
        <f t="shared" si="12"/>
        <v>0</v>
      </c>
      <c r="P90" s="507">
        <f t="shared" si="12"/>
        <v>0</v>
      </c>
      <c r="Q90" s="508">
        <f t="shared" si="12"/>
        <v>0</v>
      </c>
    </row>
    <row r="91" spans="2:17" x14ac:dyDescent="0.2">
      <c r="B91" s="603" t="s">
        <v>379</v>
      </c>
      <c r="C91" s="161"/>
      <c r="D91" s="511">
        <f>D19-D88</f>
        <v>0</v>
      </c>
      <c r="E91" s="533">
        <f t="shared" si="9"/>
        <v>0</v>
      </c>
      <c r="F91" s="506">
        <f t="shared" ref="F91:Q91" si="13">F19-F88</f>
        <v>0</v>
      </c>
      <c r="G91" s="507">
        <f t="shared" si="13"/>
        <v>0</v>
      </c>
      <c r="H91" s="507">
        <f t="shared" si="13"/>
        <v>0</v>
      </c>
      <c r="I91" s="507">
        <f t="shared" si="13"/>
        <v>0</v>
      </c>
      <c r="J91" s="507">
        <f t="shared" si="13"/>
        <v>0</v>
      </c>
      <c r="K91" s="507">
        <f t="shared" si="13"/>
        <v>0</v>
      </c>
      <c r="L91" s="507">
        <f t="shared" si="13"/>
        <v>0</v>
      </c>
      <c r="M91" s="507">
        <f t="shared" si="13"/>
        <v>0</v>
      </c>
      <c r="N91" s="507">
        <f t="shared" si="13"/>
        <v>0</v>
      </c>
      <c r="O91" s="507">
        <f t="shared" si="13"/>
        <v>0</v>
      </c>
      <c r="P91" s="507">
        <f t="shared" si="13"/>
        <v>0</v>
      </c>
      <c r="Q91" s="508">
        <f t="shared" si="13"/>
        <v>0</v>
      </c>
    </row>
    <row r="92" spans="2:17" x14ac:dyDescent="0.2">
      <c r="B92" s="603" t="s">
        <v>404</v>
      </c>
      <c r="C92" s="161"/>
      <c r="D92" s="420"/>
      <c r="E92" s="533">
        <f t="shared" si="9"/>
        <v>0</v>
      </c>
      <c r="F92" s="506"/>
      <c r="G92" s="507"/>
      <c r="H92" s="507"/>
      <c r="I92" s="507"/>
      <c r="J92" s="507"/>
      <c r="K92" s="507"/>
      <c r="L92" s="507"/>
      <c r="M92" s="507"/>
      <c r="N92" s="507"/>
      <c r="O92" s="507"/>
      <c r="P92" s="507"/>
      <c r="Q92" s="508">
        <f>(InvCropsEntry+InvLivestockEntry-InvProjCropsEntryProj-InvProjLivestockEntryProj)*-1</f>
        <v>0</v>
      </c>
    </row>
    <row r="93" spans="2:17" x14ac:dyDescent="0.2">
      <c r="B93" s="603" t="s">
        <v>405</v>
      </c>
      <c r="C93" s="161"/>
      <c r="D93" s="511">
        <f>D92</f>
        <v>0</v>
      </c>
      <c r="E93" s="533">
        <f t="shared" si="9"/>
        <v>0</v>
      </c>
      <c r="F93" s="506">
        <f t="shared" ref="F93:P93" si="14">F92</f>
        <v>0</v>
      </c>
      <c r="G93" s="507">
        <f t="shared" si="14"/>
        <v>0</v>
      </c>
      <c r="H93" s="507">
        <f t="shared" si="14"/>
        <v>0</v>
      </c>
      <c r="I93" s="507">
        <f t="shared" si="14"/>
        <v>0</v>
      </c>
      <c r="J93" s="507">
        <f t="shared" si="14"/>
        <v>0</v>
      </c>
      <c r="K93" s="507">
        <f t="shared" si="14"/>
        <v>0</v>
      </c>
      <c r="L93" s="507">
        <f t="shared" si="14"/>
        <v>0</v>
      </c>
      <c r="M93" s="507">
        <f t="shared" si="14"/>
        <v>0</v>
      </c>
      <c r="N93" s="507">
        <f t="shared" si="14"/>
        <v>0</v>
      </c>
      <c r="O93" s="507">
        <f t="shared" si="14"/>
        <v>0</v>
      </c>
      <c r="P93" s="507">
        <f t="shared" si="14"/>
        <v>0</v>
      </c>
      <c r="Q93" s="508">
        <f>(Year1AccrInt-Year2AccrIntProj)+Q92</f>
        <v>0</v>
      </c>
    </row>
    <row r="94" spans="2:17" ht="5.0999999999999996" customHeight="1" x14ac:dyDescent="0.2">
      <c r="B94" s="256"/>
      <c r="C94" s="10"/>
      <c r="D94" s="407"/>
      <c r="E94" s="540"/>
      <c r="F94" s="377"/>
      <c r="G94" s="388"/>
      <c r="H94" s="388"/>
      <c r="I94" s="388"/>
      <c r="J94" s="388"/>
      <c r="K94" s="388"/>
      <c r="L94" s="388"/>
      <c r="M94" s="388"/>
      <c r="N94" s="388"/>
      <c r="O94" s="388"/>
      <c r="P94" s="388"/>
      <c r="Q94" s="358"/>
    </row>
    <row r="95" spans="2:17" ht="13.5" thickBot="1" x14ac:dyDescent="0.25">
      <c r="B95" s="524" t="s">
        <v>245</v>
      </c>
      <c r="C95" s="525"/>
      <c r="D95" s="526">
        <f>(D22-D14-D18-D19-D68+D55+D56+D57+D93-D83-D84-D85+D89+D90+D91)</f>
        <v>0</v>
      </c>
      <c r="E95" s="541">
        <f t="shared" ref="E95:Q95" si="15">(E22-E14-E18-E19-E68+E55+E56+E57+E93-E83-E84-E85+E89+E90+E91)</f>
        <v>0</v>
      </c>
      <c r="F95" s="527">
        <f t="shared" si="15"/>
        <v>0</v>
      </c>
      <c r="G95" s="528">
        <f t="shared" si="15"/>
        <v>0</v>
      </c>
      <c r="H95" s="528">
        <f t="shared" si="15"/>
        <v>0</v>
      </c>
      <c r="I95" s="528">
        <f t="shared" si="15"/>
        <v>0</v>
      </c>
      <c r="J95" s="528">
        <f t="shared" si="15"/>
        <v>0</v>
      </c>
      <c r="K95" s="528">
        <f t="shared" si="15"/>
        <v>0</v>
      </c>
      <c r="L95" s="528">
        <f t="shared" si="15"/>
        <v>0</v>
      </c>
      <c r="M95" s="528">
        <f t="shared" si="15"/>
        <v>0</v>
      </c>
      <c r="N95" s="528">
        <f t="shared" si="15"/>
        <v>0</v>
      </c>
      <c r="O95" s="528">
        <f t="shared" si="15"/>
        <v>0</v>
      </c>
      <c r="P95" s="528">
        <f t="shared" si="15"/>
        <v>0</v>
      </c>
      <c r="Q95" s="529">
        <f t="shared" si="15"/>
        <v>0</v>
      </c>
    </row>
    <row r="96" spans="2:17" ht="5.0999999999999996" customHeight="1" x14ac:dyDescent="0.2">
      <c r="D96" s="223"/>
      <c r="E96" s="221"/>
      <c r="F96" s="352"/>
      <c r="G96" s="352"/>
      <c r="H96" s="353"/>
      <c r="I96" s="353"/>
      <c r="J96" s="353"/>
      <c r="K96" s="353"/>
      <c r="L96" s="353"/>
      <c r="M96" s="353"/>
      <c r="N96" s="353"/>
      <c r="O96" s="353"/>
      <c r="P96" s="353"/>
      <c r="Q96" s="353"/>
    </row>
    <row r="97" spans="1:20" hidden="1" x14ac:dyDescent="0.2"/>
    <row r="98" spans="1:20" ht="13.5" hidden="1" thickBot="1" x14ac:dyDescent="0.25">
      <c r="B98" s="13"/>
      <c r="C98" s="13"/>
      <c r="D98" s="345"/>
      <c r="E98" s="221"/>
      <c r="F98" s="352"/>
      <c r="G98" s="352"/>
      <c r="H98" s="353"/>
      <c r="I98" s="353"/>
      <c r="J98" s="353"/>
      <c r="K98" s="353"/>
      <c r="L98" s="353"/>
      <c r="M98" s="353"/>
      <c r="N98" s="353"/>
      <c r="O98" s="353"/>
      <c r="P98" s="353"/>
      <c r="Q98" s="353"/>
    </row>
    <row r="99" spans="1:20" x14ac:dyDescent="0.2">
      <c r="B99" s="1050" t="s">
        <v>272</v>
      </c>
      <c r="C99" s="13"/>
      <c r="D99" s="345"/>
      <c r="E99" s="221"/>
      <c r="F99" s="352"/>
      <c r="G99" s="352"/>
      <c r="H99" s="353"/>
      <c r="I99" s="353"/>
      <c r="J99" s="353"/>
      <c r="K99" s="353"/>
      <c r="L99" s="353"/>
      <c r="M99" s="353"/>
      <c r="N99" s="353"/>
      <c r="O99" s="353"/>
      <c r="P99" s="353"/>
      <c r="Q99" s="353"/>
    </row>
    <row r="100" spans="1:20" ht="13.5" thickBot="1" x14ac:dyDescent="0.25">
      <c r="B100" s="1050"/>
      <c r="C100" s="13"/>
      <c r="D100" s="345"/>
      <c r="E100" s="221"/>
      <c r="F100" s="352"/>
      <c r="G100" s="352"/>
      <c r="H100" s="353"/>
      <c r="I100" s="353"/>
      <c r="J100" s="353"/>
      <c r="K100" s="353"/>
      <c r="L100" s="353"/>
      <c r="M100" s="353"/>
      <c r="N100" s="353"/>
      <c r="O100" s="353"/>
      <c r="P100" s="353"/>
      <c r="Q100" s="353"/>
    </row>
    <row r="101" spans="1:20" ht="3.95" customHeight="1" thickTop="1" thickBot="1" x14ac:dyDescent="0.25">
      <c r="A101" s="3" t="s">
        <v>449</v>
      </c>
      <c r="C101" s="272"/>
      <c r="D101" s="346"/>
      <c r="E101" s="273"/>
      <c r="F101" s="360"/>
      <c r="G101" s="360"/>
      <c r="H101" s="360"/>
      <c r="I101" s="360"/>
      <c r="J101" s="360"/>
      <c r="K101" s="360"/>
      <c r="L101" s="360"/>
      <c r="M101" s="360"/>
      <c r="N101" s="360"/>
      <c r="O101" s="360"/>
      <c r="P101" s="360"/>
      <c r="Q101" s="360"/>
      <c r="T101" s="168"/>
    </row>
    <row r="102" spans="1:20" s="44" customFormat="1" ht="15" x14ac:dyDescent="0.2">
      <c r="A102" s="175" t="s">
        <v>450</v>
      </c>
      <c r="B102" s="269" t="s">
        <v>463</v>
      </c>
      <c r="C102" s="241"/>
      <c r="D102" s="408"/>
      <c r="E102" s="549" t="s">
        <v>16</v>
      </c>
      <c r="F102" s="414" t="s">
        <v>5</v>
      </c>
      <c r="G102" s="417" t="s">
        <v>6</v>
      </c>
      <c r="H102" s="417" t="s">
        <v>7</v>
      </c>
      <c r="I102" s="417" t="s">
        <v>8</v>
      </c>
      <c r="J102" s="417" t="s">
        <v>4</v>
      </c>
      <c r="K102" s="417" t="s">
        <v>9</v>
      </c>
      <c r="L102" s="417" t="s">
        <v>10</v>
      </c>
      <c r="M102" s="417" t="s">
        <v>11</v>
      </c>
      <c r="N102" s="417" t="s">
        <v>12</v>
      </c>
      <c r="O102" s="417" t="s">
        <v>13</v>
      </c>
      <c r="P102" s="417" t="s">
        <v>14</v>
      </c>
      <c r="Q102" s="362" t="s">
        <v>15</v>
      </c>
      <c r="T102" s="150"/>
    </row>
    <row r="103" spans="1:20" x14ac:dyDescent="0.2">
      <c r="A103" s="3" t="s">
        <v>450</v>
      </c>
      <c r="B103" s="245" t="s">
        <v>221</v>
      </c>
      <c r="C103" s="5"/>
      <c r="D103" s="398"/>
      <c r="E103" s="550"/>
      <c r="F103" s="374"/>
      <c r="G103" s="385"/>
      <c r="H103" s="393"/>
      <c r="I103" s="393"/>
      <c r="J103" s="393"/>
      <c r="K103" s="393"/>
      <c r="L103" s="393"/>
      <c r="M103" s="393"/>
      <c r="N103" s="393"/>
      <c r="O103" s="393"/>
      <c r="P103" s="393"/>
      <c r="Q103" s="354"/>
      <c r="T103" s="150"/>
    </row>
    <row r="104" spans="1:20" x14ac:dyDescent="0.2">
      <c r="A104" s="3" t="s">
        <v>450</v>
      </c>
      <c r="B104" s="247" t="s">
        <v>276</v>
      </c>
      <c r="C104" s="55"/>
      <c r="D104" s="394"/>
      <c r="E104" s="546">
        <f t="shared" ref="E104:E110" si="16">SUM(F104:Q104)</f>
        <v>0</v>
      </c>
      <c r="F104" s="371"/>
      <c r="G104" s="382"/>
      <c r="H104" s="382"/>
      <c r="I104" s="382"/>
      <c r="J104" s="382"/>
      <c r="K104" s="382"/>
      <c r="L104" s="382"/>
      <c r="M104" s="382"/>
      <c r="N104" s="382"/>
      <c r="O104" s="382"/>
      <c r="P104" s="382"/>
      <c r="Q104" s="349"/>
      <c r="T104" s="150"/>
    </row>
    <row r="105" spans="1:20" x14ac:dyDescent="0.2">
      <c r="A105" s="3" t="s">
        <v>450</v>
      </c>
      <c r="B105" s="247" t="s">
        <v>277</v>
      </c>
      <c r="C105" s="55"/>
      <c r="D105" s="394"/>
      <c r="E105" s="545">
        <f t="shared" si="16"/>
        <v>0</v>
      </c>
      <c r="F105" s="372"/>
      <c r="G105" s="383"/>
      <c r="H105" s="383"/>
      <c r="I105" s="383"/>
      <c r="J105" s="383"/>
      <c r="K105" s="383"/>
      <c r="L105" s="383"/>
      <c r="M105" s="383"/>
      <c r="N105" s="383"/>
      <c r="O105" s="383"/>
      <c r="P105" s="383"/>
      <c r="Q105" s="350"/>
      <c r="T105" s="150"/>
    </row>
    <row r="106" spans="1:20" x14ac:dyDescent="0.2">
      <c r="B106" s="247" t="s">
        <v>278</v>
      </c>
      <c r="C106" s="55"/>
      <c r="D106" s="394"/>
      <c r="E106" s="545">
        <f t="shared" si="16"/>
        <v>0</v>
      </c>
      <c r="F106" s="372"/>
      <c r="G106" s="383"/>
      <c r="H106" s="383"/>
      <c r="I106" s="383"/>
      <c r="J106" s="383"/>
      <c r="K106" s="383"/>
      <c r="L106" s="383"/>
      <c r="M106" s="383"/>
      <c r="N106" s="383"/>
      <c r="O106" s="383"/>
      <c r="P106" s="383"/>
      <c r="Q106" s="350"/>
      <c r="T106" s="150"/>
    </row>
    <row r="107" spans="1:20" x14ac:dyDescent="0.2">
      <c r="B107" s="247" t="s">
        <v>279</v>
      </c>
      <c r="C107" s="55"/>
      <c r="D107" s="394"/>
      <c r="E107" s="545">
        <f t="shared" si="16"/>
        <v>0</v>
      </c>
      <c r="F107" s="372"/>
      <c r="G107" s="383"/>
      <c r="H107" s="383"/>
      <c r="I107" s="383"/>
      <c r="J107" s="383"/>
      <c r="K107" s="383"/>
      <c r="L107" s="383"/>
      <c r="M107" s="383"/>
      <c r="N107" s="383"/>
      <c r="O107" s="383"/>
      <c r="P107" s="383"/>
      <c r="Q107" s="350"/>
      <c r="T107" s="150"/>
    </row>
    <row r="108" spans="1:20" x14ac:dyDescent="0.2">
      <c r="B108" s="247" t="s">
        <v>280</v>
      </c>
      <c r="C108" s="55"/>
      <c r="D108" s="394"/>
      <c r="E108" s="545">
        <f t="shared" si="16"/>
        <v>0</v>
      </c>
      <c r="F108" s="372"/>
      <c r="G108" s="383"/>
      <c r="H108" s="383"/>
      <c r="I108" s="383"/>
      <c r="J108" s="383"/>
      <c r="K108" s="383"/>
      <c r="L108" s="383"/>
      <c r="M108" s="383"/>
      <c r="N108" s="383"/>
      <c r="O108" s="383"/>
      <c r="P108" s="383"/>
      <c r="Q108" s="350"/>
      <c r="T108" s="150"/>
    </row>
    <row r="109" spans="1:20" ht="12" customHeight="1" x14ac:dyDescent="0.2">
      <c r="A109" s="3" t="s">
        <v>450</v>
      </c>
      <c r="B109" s="261" t="s">
        <v>281</v>
      </c>
      <c r="C109" s="162"/>
      <c r="D109" s="406"/>
      <c r="E109" s="545">
        <f t="shared" si="16"/>
        <v>0</v>
      </c>
      <c r="F109" s="372"/>
      <c r="G109" s="383"/>
      <c r="H109" s="383"/>
      <c r="I109" s="383"/>
      <c r="J109" s="383"/>
      <c r="K109" s="383"/>
      <c r="L109" s="383"/>
      <c r="M109" s="383"/>
      <c r="N109" s="383"/>
      <c r="O109" s="383"/>
      <c r="P109" s="383"/>
      <c r="Q109" s="350"/>
      <c r="T109" s="150"/>
    </row>
    <row r="110" spans="1:20" x14ac:dyDescent="0.2">
      <c r="A110" s="3" t="s">
        <v>450</v>
      </c>
      <c r="B110" s="248" t="s">
        <v>0</v>
      </c>
      <c r="C110" s="148"/>
      <c r="D110" s="395"/>
      <c r="E110" s="545">
        <f t="shared" si="16"/>
        <v>0</v>
      </c>
      <c r="F110" s="372"/>
      <c r="G110" s="383"/>
      <c r="H110" s="383"/>
      <c r="I110" s="383"/>
      <c r="J110" s="383"/>
      <c r="K110" s="383"/>
      <c r="L110" s="383"/>
      <c r="M110" s="383"/>
      <c r="N110" s="383"/>
      <c r="O110" s="383"/>
      <c r="P110" s="383"/>
      <c r="Q110" s="350"/>
      <c r="T110" s="150"/>
    </row>
    <row r="111" spans="1:20" x14ac:dyDescent="0.2">
      <c r="A111" s="3" t="s">
        <v>450</v>
      </c>
      <c r="B111" s="249" t="s">
        <v>220</v>
      </c>
      <c r="C111" s="163"/>
      <c r="D111" s="396">
        <f t="shared" ref="D111:Q111" si="17">SUM(D104:D110)</f>
        <v>0</v>
      </c>
      <c r="E111" s="551">
        <f t="shared" si="17"/>
        <v>0</v>
      </c>
      <c r="F111" s="373">
        <f t="shared" si="17"/>
        <v>0</v>
      </c>
      <c r="G111" s="384">
        <f t="shared" si="17"/>
        <v>0</v>
      </c>
      <c r="H111" s="384">
        <f t="shared" si="17"/>
        <v>0</v>
      </c>
      <c r="I111" s="384">
        <f t="shared" si="17"/>
        <v>0</v>
      </c>
      <c r="J111" s="384">
        <f t="shared" si="17"/>
        <v>0</v>
      </c>
      <c r="K111" s="384">
        <f t="shared" si="17"/>
        <v>0</v>
      </c>
      <c r="L111" s="384">
        <f t="shared" si="17"/>
        <v>0</v>
      </c>
      <c r="M111" s="384">
        <f t="shared" si="17"/>
        <v>0</v>
      </c>
      <c r="N111" s="384">
        <f t="shared" si="17"/>
        <v>0</v>
      </c>
      <c r="O111" s="384">
        <f t="shared" si="17"/>
        <v>0</v>
      </c>
      <c r="P111" s="384">
        <f t="shared" si="17"/>
        <v>0</v>
      </c>
      <c r="Q111" s="351">
        <f t="shared" si="17"/>
        <v>0</v>
      </c>
      <c r="T111" s="150"/>
    </row>
    <row r="112" spans="1:20" ht="6.95" customHeight="1" x14ac:dyDescent="0.2">
      <c r="A112" s="3" t="s">
        <v>450</v>
      </c>
      <c r="B112" s="243"/>
      <c r="D112" s="397"/>
      <c r="E112" s="550"/>
      <c r="F112" s="374"/>
      <c r="G112" s="385"/>
      <c r="H112" s="393"/>
      <c r="I112" s="393"/>
      <c r="J112" s="393"/>
      <c r="K112" s="393"/>
      <c r="L112" s="393"/>
      <c r="M112" s="393"/>
      <c r="N112" s="393"/>
      <c r="O112" s="393"/>
      <c r="P112" s="393"/>
      <c r="Q112" s="354"/>
      <c r="T112" s="150"/>
    </row>
    <row r="113" spans="1:20" x14ac:dyDescent="0.2">
      <c r="A113" s="3" t="s">
        <v>450</v>
      </c>
      <c r="B113" s="245" t="s">
        <v>451</v>
      </c>
      <c r="C113" s="5"/>
      <c r="D113" s="398"/>
      <c r="E113" s="550"/>
      <c r="F113" s="374"/>
      <c r="G113" s="385"/>
      <c r="H113" s="393"/>
      <c r="I113" s="393"/>
      <c r="J113" s="393"/>
      <c r="K113" s="393"/>
      <c r="L113" s="393"/>
      <c r="M113" s="393"/>
      <c r="N113" s="393"/>
      <c r="O113" s="393"/>
      <c r="P113" s="393"/>
      <c r="Q113" s="354"/>
      <c r="T113" s="150"/>
    </row>
    <row r="114" spans="1:20" x14ac:dyDescent="0.2">
      <c r="A114" s="3" t="s">
        <v>450</v>
      </c>
      <c r="B114" s="247" t="s">
        <v>55</v>
      </c>
      <c r="C114" s="55"/>
      <c r="D114" s="394">
        <v>0</v>
      </c>
      <c r="E114" s="546">
        <f t="shared" ref="E114:E124" si="18">SUM(F114:Q114)</f>
        <v>0</v>
      </c>
      <c r="F114" s="371"/>
      <c r="G114" s="382"/>
      <c r="H114" s="382"/>
      <c r="I114" s="382"/>
      <c r="J114" s="382"/>
      <c r="K114" s="382"/>
      <c r="L114" s="382"/>
      <c r="M114" s="382"/>
      <c r="N114" s="382"/>
      <c r="O114" s="382"/>
      <c r="P114" s="382"/>
      <c r="Q114" s="349"/>
      <c r="T114" s="150"/>
    </row>
    <row r="115" spans="1:20" x14ac:dyDescent="0.2">
      <c r="A115" s="3" t="s">
        <v>450</v>
      </c>
      <c r="B115" s="247" t="s">
        <v>48</v>
      </c>
      <c r="C115" s="55"/>
      <c r="D115" s="394"/>
      <c r="E115" s="545">
        <f t="shared" si="18"/>
        <v>0</v>
      </c>
      <c r="F115" s="372"/>
      <c r="G115" s="383"/>
      <c r="H115" s="383"/>
      <c r="I115" s="383"/>
      <c r="J115" s="383"/>
      <c r="K115" s="383"/>
      <c r="L115" s="383"/>
      <c r="M115" s="383"/>
      <c r="N115" s="383"/>
      <c r="O115" s="383"/>
      <c r="P115" s="383"/>
      <c r="Q115" s="350"/>
      <c r="T115" s="150"/>
    </row>
    <row r="116" spans="1:20" s="6" customFormat="1" x14ac:dyDescent="0.2">
      <c r="A116" s="6" t="s">
        <v>450</v>
      </c>
      <c r="B116" s="247" t="s">
        <v>56</v>
      </c>
      <c r="C116" s="55"/>
      <c r="D116" s="394"/>
      <c r="E116" s="545">
        <f t="shared" si="18"/>
        <v>0</v>
      </c>
      <c r="F116" s="372"/>
      <c r="G116" s="383"/>
      <c r="H116" s="383"/>
      <c r="I116" s="383"/>
      <c r="J116" s="383"/>
      <c r="K116" s="383"/>
      <c r="L116" s="383"/>
      <c r="M116" s="383"/>
      <c r="N116" s="383"/>
      <c r="O116" s="383"/>
      <c r="P116" s="383"/>
      <c r="Q116" s="350"/>
      <c r="T116" s="150"/>
    </row>
    <row r="117" spans="1:20" x14ac:dyDescent="0.2">
      <c r="A117" s="3" t="s">
        <v>450</v>
      </c>
      <c r="B117" s="247" t="s">
        <v>68</v>
      </c>
      <c r="C117" s="55"/>
      <c r="D117" s="394"/>
      <c r="E117" s="545">
        <f t="shared" si="18"/>
        <v>0</v>
      </c>
      <c r="F117" s="372"/>
      <c r="G117" s="383"/>
      <c r="H117" s="383"/>
      <c r="I117" s="383"/>
      <c r="J117" s="383"/>
      <c r="K117" s="383"/>
      <c r="L117" s="383"/>
      <c r="M117" s="383"/>
      <c r="N117" s="383"/>
      <c r="O117" s="383"/>
      <c r="P117" s="383"/>
      <c r="Q117" s="350"/>
      <c r="T117" s="150"/>
    </row>
    <row r="118" spans="1:20" x14ac:dyDescent="0.2">
      <c r="A118" s="3" t="s">
        <v>450</v>
      </c>
      <c r="B118" s="247" t="s">
        <v>283</v>
      </c>
      <c r="C118" s="55"/>
      <c r="D118" s="394"/>
      <c r="E118" s="545">
        <f>SUM(F118:Q118)</f>
        <v>0</v>
      </c>
      <c r="F118" s="372"/>
      <c r="G118" s="383"/>
      <c r="H118" s="383"/>
      <c r="I118" s="383"/>
      <c r="J118" s="383"/>
      <c r="K118" s="383"/>
      <c r="L118" s="383"/>
      <c r="M118" s="383"/>
      <c r="N118" s="383"/>
      <c r="O118" s="383"/>
      <c r="P118" s="383"/>
      <c r="Q118" s="350"/>
      <c r="T118" s="150"/>
    </row>
    <row r="119" spans="1:20" x14ac:dyDescent="0.2">
      <c r="A119" s="3" t="s">
        <v>450</v>
      </c>
      <c r="B119" s="247" t="s">
        <v>57</v>
      </c>
      <c r="C119" s="55"/>
      <c r="D119" s="394"/>
      <c r="E119" s="545">
        <f t="shared" si="18"/>
        <v>0</v>
      </c>
      <c r="F119" s="372"/>
      <c r="G119" s="383"/>
      <c r="H119" s="383"/>
      <c r="I119" s="383"/>
      <c r="J119" s="383"/>
      <c r="K119" s="383"/>
      <c r="L119" s="383"/>
      <c r="M119" s="383"/>
      <c r="N119" s="383"/>
      <c r="O119" s="383"/>
      <c r="P119" s="383"/>
      <c r="Q119" s="350"/>
      <c r="T119" s="150"/>
    </row>
    <row r="120" spans="1:20" x14ac:dyDescent="0.2">
      <c r="A120" s="3" t="s">
        <v>450</v>
      </c>
      <c r="B120" s="247" t="s">
        <v>47</v>
      </c>
      <c r="C120" s="55"/>
      <c r="D120" s="394"/>
      <c r="E120" s="545">
        <f t="shared" si="18"/>
        <v>0</v>
      </c>
      <c r="F120" s="372"/>
      <c r="G120" s="383"/>
      <c r="H120" s="383"/>
      <c r="I120" s="383"/>
      <c r="J120" s="383"/>
      <c r="K120" s="383"/>
      <c r="L120" s="383"/>
      <c r="M120" s="383"/>
      <c r="N120" s="383"/>
      <c r="O120" s="383"/>
      <c r="P120" s="383"/>
      <c r="Q120" s="350"/>
      <c r="T120" s="150"/>
    </row>
    <row r="121" spans="1:20" x14ac:dyDescent="0.2">
      <c r="A121" s="3" t="s">
        <v>450</v>
      </c>
      <c r="B121" s="247" t="s">
        <v>67</v>
      </c>
      <c r="C121" s="55"/>
      <c r="D121" s="394"/>
      <c r="E121" s="545">
        <f t="shared" si="18"/>
        <v>0</v>
      </c>
      <c r="F121" s="372"/>
      <c r="G121" s="383"/>
      <c r="H121" s="383"/>
      <c r="I121" s="383"/>
      <c r="J121" s="383"/>
      <c r="K121" s="383"/>
      <c r="L121" s="383"/>
      <c r="M121" s="383"/>
      <c r="N121" s="383"/>
      <c r="O121" s="383"/>
      <c r="P121" s="383"/>
      <c r="Q121" s="350"/>
      <c r="T121" s="150"/>
    </row>
    <row r="122" spans="1:20" x14ac:dyDescent="0.2">
      <c r="A122" s="3" t="s">
        <v>450</v>
      </c>
      <c r="B122" s="247" t="s">
        <v>282</v>
      </c>
      <c r="C122" s="55"/>
      <c r="D122" s="394"/>
      <c r="E122" s="545">
        <f t="shared" si="18"/>
        <v>0</v>
      </c>
      <c r="F122" s="372"/>
      <c r="G122" s="383"/>
      <c r="H122" s="383"/>
      <c r="I122" s="383"/>
      <c r="J122" s="383"/>
      <c r="K122" s="383"/>
      <c r="L122" s="383"/>
      <c r="M122" s="383"/>
      <c r="N122" s="383"/>
      <c r="O122" s="383"/>
      <c r="P122" s="383"/>
      <c r="Q122" s="350"/>
      <c r="T122" s="150"/>
    </row>
    <row r="123" spans="1:20" x14ac:dyDescent="0.2">
      <c r="A123" s="3" t="s">
        <v>450</v>
      </c>
      <c r="B123" s="247" t="s">
        <v>452</v>
      </c>
      <c r="C123" s="55"/>
      <c r="D123" s="394"/>
      <c r="E123" s="545">
        <f t="shared" si="18"/>
        <v>0</v>
      </c>
      <c r="F123" s="375"/>
      <c r="G123" s="386"/>
      <c r="H123" s="386"/>
      <c r="I123" s="386"/>
      <c r="J123" s="386"/>
      <c r="K123" s="386"/>
      <c r="L123" s="386"/>
      <c r="M123" s="386"/>
      <c r="N123" s="386"/>
      <c r="O123" s="386"/>
      <c r="P123" s="386"/>
      <c r="Q123" s="355"/>
      <c r="T123" s="150"/>
    </row>
    <row r="124" spans="1:20" x14ac:dyDescent="0.2">
      <c r="A124" s="3" t="s">
        <v>450</v>
      </c>
      <c r="B124" s="249" t="s">
        <v>536</v>
      </c>
      <c r="C124" s="163"/>
      <c r="D124" s="409">
        <f>SUM(D114:D123)</f>
        <v>0</v>
      </c>
      <c r="E124" s="552">
        <f t="shared" si="18"/>
        <v>0</v>
      </c>
      <c r="F124" s="373">
        <f t="shared" ref="F124:Q124" si="19">SUM(F114:F123)</f>
        <v>0</v>
      </c>
      <c r="G124" s="384">
        <f t="shared" si="19"/>
        <v>0</v>
      </c>
      <c r="H124" s="384">
        <f t="shared" si="19"/>
        <v>0</v>
      </c>
      <c r="I124" s="384">
        <f t="shared" si="19"/>
        <v>0</v>
      </c>
      <c r="J124" s="384">
        <f t="shared" si="19"/>
        <v>0</v>
      </c>
      <c r="K124" s="384">
        <f t="shared" si="19"/>
        <v>0</v>
      </c>
      <c r="L124" s="384">
        <f t="shared" si="19"/>
        <v>0</v>
      </c>
      <c r="M124" s="384">
        <f t="shared" si="19"/>
        <v>0</v>
      </c>
      <c r="N124" s="384">
        <f t="shared" si="19"/>
        <v>0</v>
      </c>
      <c r="O124" s="384">
        <f t="shared" si="19"/>
        <v>0</v>
      </c>
      <c r="P124" s="384">
        <f t="shared" si="19"/>
        <v>0</v>
      </c>
      <c r="Q124" s="351">
        <f t="shared" si="19"/>
        <v>0</v>
      </c>
      <c r="T124" s="150"/>
    </row>
    <row r="125" spans="1:20" ht="6.95" customHeight="1" x14ac:dyDescent="0.2">
      <c r="A125" s="3" t="s">
        <v>450</v>
      </c>
      <c r="B125" s="243"/>
      <c r="D125" s="397"/>
      <c r="E125" s="550"/>
      <c r="F125" s="374"/>
      <c r="G125" s="385"/>
      <c r="H125" s="393"/>
      <c r="I125" s="393"/>
      <c r="J125" s="393"/>
      <c r="K125" s="393"/>
      <c r="L125" s="393"/>
      <c r="M125" s="393"/>
      <c r="N125" s="393"/>
      <c r="O125" s="393"/>
      <c r="P125" s="393"/>
      <c r="Q125" s="354"/>
      <c r="T125" s="150"/>
    </row>
    <row r="126" spans="1:20" x14ac:dyDescent="0.2">
      <c r="A126" s="3" t="s">
        <v>450</v>
      </c>
      <c r="B126" s="245" t="s">
        <v>453</v>
      </c>
      <c r="C126" s="5"/>
      <c r="D126" s="398"/>
      <c r="E126" s="550"/>
      <c r="F126" s="374"/>
      <c r="G126" s="385"/>
      <c r="H126" s="393"/>
      <c r="I126" s="393"/>
      <c r="J126" s="393"/>
      <c r="K126" s="393"/>
      <c r="L126" s="393"/>
      <c r="M126" s="393"/>
      <c r="N126" s="393"/>
      <c r="O126" s="393"/>
      <c r="P126" s="393"/>
      <c r="Q126" s="354"/>
      <c r="T126" s="150"/>
    </row>
    <row r="127" spans="1:20" ht="12" customHeight="1" x14ac:dyDescent="0.2">
      <c r="A127" s="56"/>
      <c r="B127" s="260" t="s">
        <v>284</v>
      </c>
      <c r="C127" s="161"/>
      <c r="D127" s="394"/>
      <c r="E127" s="546">
        <f>SUM(F127:Q127)</f>
        <v>0</v>
      </c>
      <c r="F127" s="371"/>
      <c r="G127" s="382"/>
      <c r="H127" s="382"/>
      <c r="I127" s="382"/>
      <c r="J127" s="382"/>
      <c r="K127" s="382"/>
      <c r="L127" s="382"/>
      <c r="M127" s="382"/>
      <c r="N127" s="382"/>
      <c r="O127" s="382"/>
      <c r="P127" s="382"/>
      <c r="Q127" s="349"/>
      <c r="T127" s="150"/>
    </row>
    <row r="128" spans="1:20" s="6" customFormat="1" x14ac:dyDescent="0.2">
      <c r="A128" s="6" t="s">
        <v>450</v>
      </c>
      <c r="B128" s="247" t="s">
        <v>285</v>
      </c>
      <c r="C128" s="55"/>
      <c r="D128" s="394"/>
      <c r="E128" s="546">
        <f t="shared" ref="E128:E135" si="20">SUM(F128:Q128)</f>
        <v>0</v>
      </c>
      <c r="F128" s="371"/>
      <c r="G128" s="382"/>
      <c r="H128" s="382"/>
      <c r="I128" s="382"/>
      <c r="J128" s="382"/>
      <c r="K128" s="382"/>
      <c r="L128" s="382"/>
      <c r="M128" s="382"/>
      <c r="N128" s="382"/>
      <c r="O128" s="382"/>
      <c r="P128" s="382"/>
      <c r="Q128" s="349"/>
      <c r="T128" s="150"/>
    </row>
    <row r="129" spans="1:20" s="6" customFormat="1" x14ac:dyDescent="0.2">
      <c r="A129" s="6" t="s">
        <v>450</v>
      </c>
      <c r="B129" s="247" t="s">
        <v>58</v>
      </c>
      <c r="C129" s="55"/>
      <c r="D129" s="394"/>
      <c r="E129" s="545">
        <f t="shared" si="20"/>
        <v>0</v>
      </c>
      <c r="F129" s="372"/>
      <c r="G129" s="383"/>
      <c r="H129" s="383"/>
      <c r="I129" s="383"/>
      <c r="J129" s="383"/>
      <c r="K129" s="383"/>
      <c r="L129" s="383"/>
      <c r="M129" s="383"/>
      <c r="N129" s="383"/>
      <c r="O129" s="383"/>
      <c r="P129" s="383"/>
      <c r="Q129" s="350"/>
      <c r="T129" s="150"/>
    </row>
    <row r="130" spans="1:20" s="6" customFormat="1" x14ac:dyDescent="0.2">
      <c r="A130" s="6" t="s">
        <v>450</v>
      </c>
      <c r="B130" s="247" t="s">
        <v>59</v>
      </c>
      <c r="C130" s="55"/>
      <c r="D130" s="394"/>
      <c r="E130" s="545">
        <f t="shared" si="20"/>
        <v>0</v>
      </c>
      <c r="F130" s="372"/>
      <c r="G130" s="383"/>
      <c r="H130" s="383"/>
      <c r="I130" s="383"/>
      <c r="J130" s="383"/>
      <c r="K130" s="383"/>
      <c r="L130" s="383"/>
      <c r="M130" s="383"/>
      <c r="N130" s="383"/>
      <c r="O130" s="383"/>
      <c r="P130" s="383"/>
      <c r="Q130" s="350"/>
      <c r="T130" s="150"/>
    </row>
    <row r="131" spans="1:20" s="6" customFormat="1" x14ac:dyDescent="0.2">
      <c r="A131" s="6" t="s">
        <v>450</v>
      </c>
      <c r="B131" s="247" t="s">
        <v>60</v>
      </c>
      <c r="C131" s="55"/>
      <c r="D131" s="394"/>
      <c r="E131" s="545">
        <f t="shared" si="20"/>
        <v>0</v>
      </c>
      <c r="F131" s="372"/>
      <c r="G131" s="383"/>
      <c r="H131" s="383"/>
      <c r="I131" s="383"/>
      <c r="J131" s="383"/>
      <c r="K131" s="383"/>
      <c r="L131" s="383"/>
      <c r="M131" s="383"/>
      <c r="N131" s="383"/>
      <c r="O131" s="383"/>
      <c r="P131" s="383"/>
      <c r="Q131" s="350"/>
      <c r="T131" s="150"/>
    </row>
    <row r="132" spans="1:20" s="6" customFormat="1" x14ac:dyDescent="0.2">
      <c r="B132" s="247" t="s">
        <v>73</v>
      </c>
      <c r="C132" s="55"/>
      <c r="D132" s="394"/>
      <c r="E132" s="545">
        <f t="shared" si="20"/>
        <v>0</v>
      </c>
      <c r="F132" s="506">
        <f>INDEX('Loans to Cash Flows Wkst'!$E$18:$E$31,MATCH('Cash Flows'!F$6,'Loans to Cash Flows Wkst'!$C$18:$C$31,0))+INDEX('Loans to Cash Flows Wkst'!$E$84:$E$97,MATCH('Cash Flows'!F$6,'Loans to Cash Flows Wkst'!$C$84:$C$97,0))+INDEX(ProposedLoansWkst!$E$18:$E$31,MATCH('Cash Flows'!F$6,ProposedLoansWkst!$C$18:$C$31,0))+INDEX(ProposedLoansWkst!$E$82:$E$95,MATCH('Cash Flows'!F$6,ProposedLoansWkst!$C$82:$C$95,0))</f>
        <v>0</v>
      </c>
      <c r="G132" s="507">
        <f>INDEX('Loans to Cash Flows Wkst'!$E$18:$E$31,MATCH('Cash Flows'!G$6,'Loans to Cash Flows Wkst'!$C$18:$C$31,0))+INDEX('Loans to Cash Flows Wkst'!$E$84:$E$97,MATCH('Cash Flows'!G$6,'Loans to Cash Flows Wkst'!$C$84:$C$97,0))+INDEX(ProposedLoansWkst!$E$18:$E$31,MATCH('Cash Flows'!G$6,ProposedLoansWkst!$C$18:$C$31,0))+INDEX(ProposedLoansWkst!$E$82:$E$95,MATCH('Cash Flows'!G$6,ProposedLoansWkst!$C$82:$C$95,0))</f>
        <v>0</v>
      </c>
      <c r="H132" s="507">
        <f>INDEX('Loans to Cash Flows Wkst'!$E$18:$E$31,MATCH('Cash Flows'!H$6,'Loans to Cash Flows Wkst'!$C$18:$C$31,0))+INDEX('Loans to Cash Flows Wkst'!$E$84:$E$97,MATCH('Cash Flows'!H$6,'Loans to Cash Flows Wkst'!$C$84:$C$97,0))+INDEX(ProposedLoansWkst!$E$18:$E$31,MATCH('Cash Flows'!H$6,ProposedLoansWkst!$C$18:$C$31,0))+INDEX(ProposedLoansWkst!$E$82:$E$95,MATCH('Cash Flows'!H$6,ProposedLoansWkst!$C$82:$C$95,0))</f>
        <v>0</v>
      </c>
      <c r="I132" s="507">
        <f>INDEX('Loans to Cash Flows Wkst'!$E$18:$E$31,MATCH('Cash Flows'!I$6,'Loans to Cash Flows Wkst'!$C$18:$C$31,0))+INDEX('Loans to Cash Flows Wkst'!$E$84:$E$97,MATCH('Cash Flows'!I$6,'Loans to Cash Flows Wkst'!$C$84:$C$97,0))+INDEX(ProposedLoansWkst!$E$18:$E$31,MATCH('Cash Flows'!I$6,ProposedLoansWkst!$C$18:$C$31,0))+INDEX(ProposedLoansWkst!$E$82:$E$95,MATCH('Cash Flows'!I$6,ProposedLoansWkst!$C$82:$C$95,0))</f>
        <v>0</v>
      </c>
      <c r="J132" s="507">
        <f>INDEX('Loans to Cash Flows Wkst'!$E$18:$E$31,MATCH('Cash Flows'!J$6,'Loans to Cash Flows Wkst'!$C$18:$C$31,0))+INDEX('Loans to Cash Flows Wkst'!$E$84:$E$97,MATCH('Cash Flows'!J$6,'Loans to Cash Flows Wkst'!$C$84:$C$97,0))+INDEX(ProposedLoansWkst!$E$18:$E$31,MATCH('Cash Flows'!J$6,ProposedLoansWkst!$C$18:$C$31,0))+INDEX(ProposedLoansWkst!$E$82:$E$95,MATCH('Cash Flows'!J$6,ProposedLoansWkst!$C$82:$C$95,0))</f>
        <v>0</v>
      </c>
      <c r="K132" s="507">
        <f>INDEX('Loans to Cash Flows Wkst'!$E$18:$E$31,MATCH('Cash Flows'!K$6,'Loans to Cash Flows Wkst'!$C$18:$C$31,0))+INDEX('Loans to Cash Flows Wkst'!$E$84:$E$97,MATCH('Cash Flows'!K$6,'Loans to Cash Flows Wkst'!$C$84:$C$97,0))+INDEX(ProposedLoansWkst!$E$18:$E$31,MATCH('Cash Flows'!K$6,ProposedLoansWkst!$C$18:$C$31,0))+INDEX(ProposedLoansWkst!$E$82:$E$95,MATCH('Cash Flows'!K$6,ProposedLoansWkst!$C$82:$C$95,0))</f>
        <v>0</v>
      </c>
      <c r="L132" s="507">
        <f>INDEX('Loans to Cash Flows Wkst'!$E$18:$E$31,MATCH('Cash Flows'!L$6,'Loans to Cash Flows Wkst'!$C$18:$C$31,0))+INDEX('Loans to Cash Flows Wkst'!$E$84:$E$97,MATCH('Cash Flows'!L$6,'Loans to Cash Flows Wkst'!$C$84:$C$97,0))+INDEX(ProposedLoansWkst!$E$18:$E$31,MATCH('Cash Flows'!L$6,ProposedLoansWkst!$C$18:$C$31,0))+INDEX(ProposedLoansWkst!$E$82:$E$95,MATCH('Cash Flows'!L$6,ProposedLoansWkst!$C$82:$C$95,0))</f>
        <v>0</v>
      </c>
      <c r="M132" s="507">
        <f>INDEX('Loans to Cash Flows Wkst'!$E$18:$E$31,MATCH('Cash Flows'!M$6,'Loans to Cash Flows Wkst'!$C$18:$C$31,0))+INDEX('Loans to Cash Flows Wkst'!$E$84:$E$97,MATCH('Cash Flows'!M$6,'Loans to Cash Flows Wkst'!$C$84:$C$97,0))+INDEX(ProposedLoansWkst!$E$18:$E$31,MATCH('Cash Flows'!M$6,ProposedLoansWkst!$C$18:$C$31,0))+INDEX(ProposedLoansWkst!$E$82:$E$95,MATCH('Cash Flows'!M$6,ProposedLoansWkst!$C$82:$C$95,0))</f>
        <v>0</v>
      </c>
      <c r="N132" s="507">
        <f>INDEX('Loans to Cash Flows Wkst'!$E$18:$E$31,MATCH('Cash Flows'!N$6,'Loans to Cash Flows Wkst'!$C$18:$C$31,0))+INDEX('Loans to Cash Flows Wkst'!$E$84:$E$97,MATCH('Cash Flows'!N$6,'Loans to Cash Flows Wkst'!$C$84:$C$97,0))+INDEX(ProposedLoansWkst!$E$18:$E$31,MATCH('Cash Flows'!N$6,ProposedLoansWkst!$C$18:$C$31,0))+INDEX(ProposedLoansWkst!$E$82:$E$95,MATCH('Cash Flows'!N$6,ProposedLoansWkst!$C$82:$C$95,0))</f>
        <v>0</v>
      </c>
      <c r="O132" s="507">
        <f>INDEX('Loans to Cash Flows Wkst'!$E$18:$E$31,MATCH('Cash Flows'!O$6,'Loans to Cash Flows Wkst'!$C$18:$C$31,0))+INDEX('Loans to Cash Flows Wkst'!$E$84:$E$97,MATCH('Cash Flows'!O$6,'Loans to Cash Flows Wkst'!$C$84:$C$97,0))+INDEX(ProposedLoansWkst!$E$18:$E$31,MATCH('Cash Flows'!O$6,ProposedLoansWkst!$C$18:$C$31,0))+INDEX(ProposedLoansWkst!$E$82:$E$95,MATCH('Cash Flows'!O$6,ProposedLoansWkst!$C$82:$C$95,0))</f>
        <v>0</v>
      </c>
      <c r="P132" s="507">
        <f>INDEX('Loans to Cash Flows Wkst'!$E$18:$E$31,MATCH('Cash Flows'!P$6,'Loans to Cash Flows Wkst'!$C$18:$C$31,0))+INDEX('Loans to Cash Flows Wkst'!$E$84:$E$97,MATCH('Cash Flows'!P$6,'Loans to Cash Flows Wkst'!$C$84:$C$97,0))+INDEX(ProposedLoansWkst!$E$18:$E$31,MATCH('Cash Flows'!P$6,ProposedLoansWkst!$C$18:$C$31,0))+INDEX(ProposedLoansWkst!$E$82:$E$95,MATCH('Cash Flows'!P$6,ProposedLoansWkst!$C$82:$C$95,0))</f>
        <v>0</v>
      </c>
      <c r="Q132" s="508">
        <f>INDEX('Loans to Cash Flows Wkst'!$E$18:$E$31,MATCH('Cash Flows'!Q$6,'Loans to Cash Flows Wkst'!$C$18:$C$31,0))+INDEX('Loans to Cash Flows Wkst'!$E$84:$E$97,MATCH('Cash Flows'!Q$6,'Loans to Cash Flows Wkst'!$C$84:$C$97,0))+INDEX(ProposedLoansWkst!$E$18:$E$31,MATCH('Cash Flows'!Q$6,ProposedLoansWkst!$C$18:$C$31,0))+INDEX(ProposedLoansWkst!$E$82:$E$95,MATCH('Cash Flows'!Q$6,ProposedLoansWkst!$C$82:$C$95,0))</f>
        <v>0</v>
      </c>
      <c r="T132" s="150"/>
    </row>
    <row r="133" spans="1:20" s="6" customFormat="1" x14ac:dyDescent="0.2">
      <c r="A133" s="6" t="s">
        <v>450</v>
      </c>
      <c r="B133" s="247" t="s">
        <v>454</v>
      </c>
      <c r="C133" s="55"/>
      <c r="D133" s="394"/>
      <c r="E133" s="545">
        <f t="shared" si="20"/>
        <v>0</v>
      </c>
      <c r="F133" s="372"/>
      <c r="G133" s="383"/>
      <c r="H133" s="383"/>
      <c r="I133" s="383"/>
      <c r="J133" s="383"/>
      <c r="K133" s="383"/>
      <c r="L133" s="383"/>
      <c r="M133" s="383"/>
      <c r="N133" s="383"/>
      <c r="O133" s="383"/>
      <c r="P133" s="383"/>
      <c r="Q133" s="350"/>
      <c r="T133" s="150"/>
    </row>
    <row r="134" spans="1:20" s="6" customFormat="1" x14ac:dyDescent="0.2">
      <c r="A134" s="6" t="s">
        <v>450</v>
      </c>
      <c r="B134" s="247" t="s">
        <v>455</v>
      </c>
      <c r="C134" s="55"/>
      <c r="D134" s="394"/>
      <c r="E134" s="545">
        <f t="shared" si="20"/>
        <v>0</v>
      </c>
      <c r="F134" s="372"/>
      <c r="G134" s="383"/>
      <c r="H134" s="383"/>
      <c r="I134" s="383"/>
      <c r="J134" s="383"/>
      <c r="K134" s="383"/>
      <c r="L134" s="383"/>
      <c r="M134" s="383"/>
      <c r="N134" s="383"/>
      <c r="O134" s="383"/>
      <c r="P134" s="383"/>
      <c r="Q134" s="350"/>
      <c r="T134" s="150"/>
    </row>
    <row r="135" spans="1:20" x14ac:dyDescent="0.2">
      <c r="A135" s="3" t="s">
        <v>450</v>
      </c>
      <c r="B135" s="255" t="s">
        <v>537</v>
      </c>
      <c r="C135" s="164"/>
      <c r="D135" s="409">
        <f>SUM(D127:D134)</f>
        <v>0</v>
      </c>
      <c r="E135" s="552">
        <f t="shared" si="20"/>
        <v>0</v>
      </c>
      <c r="F135" s="373">
        <f>SUM(F127:F134)</f>
        <v>0</v>
      </c>
      <c r="G135" s="384">
        <f t="shared" ref="G135:Q135" si="21">SUM(G127:G134)</f>
        <v>0</v>
      </c>
      <c r="H135" s="384">
        <f t="shared" si="21"/>
        <v>0</v>
      </c>
      <c r="I135" s="384">
        <f t="shared" si="21"/>
        <v>0</v>
      </c>
      <c r="J135" s="384">
        <f t="shared" si="21"/>
        <v>0</v>
      </c>
      <c r="K135" s="384">
        <f t="shared" si="21"/>
        <v>0</v>
      </c>
      <c r="L135" s="384">
        <f t="shared" si="21"/>
        <v>0</v>
      </c>
      <c r="M135" s="384">
        <f t="shared" si="21"/>
        <v>0</v>
      </c>
      <c r="N135" s="384">
        <f t="shared" si="21"/>
        <v>0</v>
      </c>
      <c r="O135" s="384">
        <f t="shared" si="21"/>
        <v>0</v>
      </c>
      <c r="P135" s="384">
        <f t="shared" si="21"/>
        <v>0</v>
      </c>
      <c r="Q135" s="351">
        <f t="shared" si="21"/>
        <v>0</v>
      </c>
      <c r="T135" s="150"/>
    </row>
    <row r="136" spans="1:20" ht="6.95" customHeight="1" x14ac:dyDescent="0.2">
      <c r="A136" s="3" t="s">
        <v>450</v>
      </c>
      <c r="B136" s="256"/>
      <c r="C136" s="10"/>
      <c r="D136" s="407"/>
      <c r="E136" s="553"/>
      <c r="F136" s="377"/>
      <c r="G136" s="388"/>
      <c r="H136" s="388"/>
      <c r="I136" s="388"/>
      <c r="J136" s="388"/>
      <c r="K136" s="388"/>
      <c r="L136" s="388"/>
      <c r="M136" s="388"/>
      <c r="N136" s="388"/>
      <c r="O136" s="388"/>
      <c r="P136" s="388"/>
      <c r="Q136" s="358"/>
      <c r="T136" s="150"/>
    </row>
    <row r="137" spans="1:20" ht="13.5" thickBot="1" x14ac:dyDescent="0.25">
      <c r="A137" s="3" t="s">
        <v>450</v>
      </c>
      <c r="B137" s="263" t="s">
        <v>538</v>
      </c>
      <c r="C137" s="166"/>
      <c r="D137" s="410">
        <f>D124+D135</f>
        <v>0</v>
      </c>
      <c r="E137" s="554">
        <f>SUM(F137:Q137)</f>
        <v>0</v>
      </c>
      <c r="F137" s="415">
        <f t="shared" ref="F137:Q137" si="22">F124+F135</f>
        <v>0</v>
      </c>
      <c r="G137" s="418">
        <f t="shared" si="22"/>
        <v>0</v>
      </c>
      <c r="H137" s="418">
        <f t="shared" si="22"/>
        <v>0</v>
      </c>
      <c r="I137" s="418">
        <f t="shared" si="22"/>
        <v>0</v>
      </c>
      <c r="J137" s="418">
        <f t="shared" si="22"/>
        <v>0</v>
      </c>
      <c r="K137" s="418">
        <f t="shared" si="22"/>
        <v>0</v>
      </c>
      <c r="L137" s="418">
        <f t="shared" si="22"/>
        <v>0</v>
      </c>
      <c r="M137" s="418">
        <f t="shared" si="22"/>
        <v>0</v>
      </c>
      <c r="N137" s="418">
        <f t="shared" si="22"/>
        <v>0</v>
      </c>
      <c r="O137" s="418">
        <f t="shared" si="22"/>
        <v>0</v>
      </c>
      <c r="P137" s="418">
        <f t="shared" si="22"/>
        <v>0</v>
      </c>
      <c r="Q137" s="363">
        <f t="shared" si="22"/>
        <v>0</v>
      </c>
      <c r="T137" s="150"/>
    </row>
    <row r="138" spans="1:20" ht="3.95" customHeight="1" thickTop="1" thickBot="1" x14ac:dyDescent="0.25">
      <c r="B138" s="10"/>
      <c r="C138" s="10"/>
      <c r="D138" s="407"/>
      <c r="E138" s="553"/>
      <c r="F138" s="377"/>
      <c r="G138" s="388"/>
      <c r="H138" s="388"/>
      <c r="I138" s="388"/>
      <c r="J138" s="388"/>
      <c r="K138" s="388"/>
      <c r="L138" s="388"/>
      <c r="M138" s="388"/>
      <c r="N138" s="388"/>
      <c r="O138" s="388"/>
      <c r="P138" s="388"/>
      <c r="Q138" s="518"/>
      <c r="T138" s="150"/>
    </row>
    <row r="139" spans="1:20" ht="15.75" customHeight="1" x14ac:dyDescent="0.2">
      <c r="A139" s="520"/>
      <c r="B139" s="521"/>
      <c r="C139" s="519"/>
      <c r="D139" s="379">
        <f>$D$5</f>
        <v>2016</v>
      </c>
      <c r="E139" s="555" t="s">
        <v>16</v>
      </c>
      <c r="F139" s="368" t="s">
        <v>5</v>
      </c>
      <c r="G139" s="379" t="s">
        <v>6</v>
      </c>
      <c r="H139" s="390" t="s">
        <v>7</v>
      </c>
      <c r="I139" s="390" t="s">
        <v>8</v>
      </c>
      <c r="J139" s="390" t="s">
        <v>4</v>
      </c>
      <c r="K139" s="390" t="s">
        <v>9</v>
      </c>
      <c r="L139" s="390" t="s">
        <v>10</v>
      </c>
      <c r="M139" s="390" t="s">
        <v>11</v>
      </c>
      <c r="N139" s="390" t="s">
        <v>12</v>
      </c>
      <c r="O139" s="390" t="s">
        <v>13</v>
      </c>
      <c r="P139" s="390" t="s">
        <v>14</v>
      </c>
      <c r="Q139" s="271" t="s">
        <v>15</v>
      </c>
    </row>
    <row r="140" spans="1:20" x14ac:dyDescent="0.2">
      <c r="B140" s="492" t="s">
        <v>222</v>
      </c>
      <c r="C140" s="10"/>
      <c r="D140" s="407"/>
      <c r="E140" s="553"/>
      <c r="F140" s="377"/>
      <c r="G140" s="388"/>
      <c r="H140" s="388"/>
      <c r="I140" s="388"/>
      <c r="J140" s="388"/>
      <c r="K140" s="388"/>
      <c r="L140" s="388"/>
      <c r="M140" s="388"/>
      <c r="N140" s="388"/>
      <c r="O140" s="388"/>
      <c r="P140" s="388"/>
      <c r="Q140" s="358"/>
      <c r="T140" s="150"/>
    </row>
    <row r="141" spans="1:20" ht="12" customHeight="1" x14ac:dyDescent="0.2">
      <c r="A141" s="56"/>
      <c r="B141" s="259" t="s">
        <v>431</v>
      </c>
      <c r="C141" s="161"/>
      <c r="D141" s="394"/>
      <c r="E141" s="546">
        <f>SUM(F141:Q141)</f>
        <v>0</v>
      </c>
      <c r="F141" s="503">
        <f>INDEX('Loans to Cash Flows Wkst'!$D$18:$D$31,MATCH('Cash Flows'!F$6,'Loans to Cash Flows Wkst'!$C$18:$C$31,0))+INDEX(ProposedLoansWkst!$D$18:$D$31,MATCH('Cash Flows'!F$6,ProposedLoansWkst!$C$18:$C$31,0))</f>
        <v>0</v>
      </c>
      <c r="G141" s="504">
        <f>INDEX('Loans to Cash Flows Wkst'!$D$18:$D$31,MATCH('Cash Flows'!G$6,'Loans to Cash Flows Wkst'!$C$18:$C$31,0))+INDEX(ProposedLoansWkst!$D$18:$D$31,MATCH('Cash Flows'!G$6,ProposedLoansWkst!$C$18:$C$31,0))</f>
        <v>0</v>
      </c>
      <c r="H141" s="504">
        <f>INDEX('Loans to Cash Flows Wkst'!$D$18:$D$31,MATCH('Cash Flows'!H$6,'Loans to Cash Flows Wkst'!$C$18:$C$31,0))+INDEX(ProposedLoansWkst!$D$18:$D$31,MATCH('Cash Flows'!H$6,ProposedLoansWkst!$C$18:$C$31,0))</f>
        <v>0</v>
      </c>
      <c r="I141" s="504">
        <f>INDEX('Loans to Cash Flows Wkst'!$D$18:$D$31,MATCH('Cash Flows'!I$6,'Loans to Cash Flows Wkst'!$C$18:$C$31,0))+INDEX(ProposedLoansWkst!$D$18:$D$31,MATCH('Cash Flows'!I$6,ProposedLoansWkst!$C$18:$C$31,0))</f>
        <v>0</v>
      </c>
      <c r="J141" s="504">
        <f>INDEX('Loans to Cash Flows Wkst'!$D$18:$D$31,MATCH('Cash Flows'!J$6,'Loans to Cash Flows Wkst'!$C$18:$C$31,0))+INDEX(ProposedLoansWkst!$D$18:$D$31,MATCH('Cash Flows'!J$6,ProposedLoansWkst!$C$18:$C$31,0))</f>
        <v>0</v>
      </c>
      <c r="K141" s="504">
        <f>INDEX('Loans to Cash Flows Wkst'!$D$18:$D$31,MATCH('Cash Flows'!K$6,'Loans to Cash Flows Wkst'!$C$18:$C$31,0))+INDEX(ProposedLoansWkst!$D$18:$D$31,MATCH('Cash Flows'!K$6,ProposedLoansWkst!$C$18:$C$31,0))</f>
        <v>0</v>
      </c>
      <c r="L141" s="504">
        <f>INDEX('Loans to Cash Flows Wkst'!$D$18:$D$31,MATCH('Cash Flows'!L$6,'Loans to Cash Flows Wkst'!$C$18:$C$31,0))+INDEX(ProposedLoansWkst!$D$18:$D$31,MATCH('Cash Flows'!L$6,ProposedLoansWkst!$C$18:$C$31,0))</f>
        <v>0</v>
      </c>
      <c r="M141" s="504">
        <f>INDEX('Loans to Cash Flows Wkst'!$D$18:$D$31,MATCH('Cash Flows'!M$6,'Loans to Cash Flows Wkst'!$C$18:$C$31,0))+INDEX(ProposedLoansWkst!$D$18:$D$31,MATCH('Cash Flows'!M$6,ProposedLoansWkst!$C$18:$C$31,0))</f>
        <v>0</v>
      </c>
      <c r="N141" s="504">
        <f>INDEX('Loans to Cash Flows Wkst'!$D$18:$D$31,MATCH('Cash Flows'!N$6,'Loans to Cash Flows Wkst'!$C$18:$C$31,0))+INDEX(ProposedLoansWkst!$D$18:$D$31,MATCH('Cash Flows'!N$6,ProposedLoansWkst!$C$18:$C$31,0))</f>
        <v>0</v>
      </c>
      <c r="O141" s="504">
        <f>INDEX('Loans to Cash Flows Wkst'!$D$18:$D$31,MATCH('Cash Flows'!O$6,'Loans to Cash Flows Wkst'!$C$18:$C$31,0))+INDEX(ProposedLoansWkst!$D$18:$D$31,MATCH('Cash Flows'!O$6,ProposedLoansWkst!$C$18:$C$31,0))</f>
        <v>0</v>
      </c>
      <c r="P141" s="504">
        <f>INDEX('Loans to Cash Flows Wkst'!$D$18:$D$31,MATCH('Cash Flows'!P$6,'Loans to Cash Flows Wkst'!$C$18:$C$31,0))+INDEX(ProposedLoansWkst!$D$18:$D$31,MATCH('Cash Flows'!P$6,ProposedLoansWkst!$C$18:$C$31,0))</f>
        <v>0</v>
      </c>
      <c r="Q141" s="505">
        <f>INDEX('Loans to Cash Flows Wkst'!$D$18:$D$31,MATCH('Cash Flows'!Q$6,'Loans to Cash Flows Wkst'!$C$18:$C$31,0))+INDEX(ProposedLoansWkst!$D$18:$D$31,MATCH('Cash Flows'!Q$6,ProposedLoansWkst!$C$18:$C$31,0))</f>
        <v>0</v>
      </c>
      <c r="T141" s="150"/>
    </row>
    <row r="142" spans="1:20" ht="12" customHeight="1" x14ac:dyDescent="0.2">
      <c r="A142" s="56"/>
      <c r="B142" s="259" t="s">
        <v>430</v>
      </c>
      <c r="C142" s="161"/>
      <c r="D142" s="394"/>
      <c r="E142" s="546">
        <f>SUM(F142:Q142)</f>
        <v>0</v>
      </c>
      <c r="F142" s="503">
        <f>INDEX(ProposedLoansWkst!$D$82:$D$95,MATCH('Cash Flows'!F$6,ProposedLoansWkst!$C$82:$C$95,0))+INDEX('Loans to Cash Flows Wkst'!$D$84:$D$97,MATCH('Cash Flows'!F$6,'Loans to Cash Flows Wkst'!$C$18:$C$31,0))</f>
        <v>0</v>
      </c>
      <c r="G142" s="504">
        <f>INDEX(ProposedLoansWkst!$D$82:$D$95,MATCH('Cash Flows'!G$6,ProposedLoansWkst!$C$82:$C$95,0))+INDEX('Loans to Cash Flows Wkst'!$D$84:$D$97,MATCH('Cash Flows'!G$6,'Loans to Cash Flows Wkst'!$C$18:$C$31,0))</f>
        <v>0</v>
      </c>
      <c r="H142" s="504">
        <f>INDEX(ProposedLoansWkst!$D$82:$D$95,MATCH('Cash Flows'!H$6,ProposedLoansWkst!$C$82:$C$95,0))+INDEX('Loans to Cash Flows Wkst'!$D$84:$D$97,MATCH('Cash Flows'!H$6,'Loans to Cash Flows Wkst'!$C$18:$C$31,0))</f>
        <v>0</v>
      </c>
      <c r="I142" s="504">
        <f>INDEX(ProposedLoansWkst!$D$82:$D$95,MATCH('Cash Flows'!I$6,ProposedLoansWkst!$C$82:$C$95,0))+INDEX('Loans to Cash Flows Wkst'!$D$84:$D$97,MATCH('Cash Flows'!I$6,'Loans to Cash Flows Wkst'!$C$18:$C$31,0))</f>
        <v>0</v>
      </c>
      <c r="J142" s="504">
        <f>INDEX(ProposedLoansWkst!$D$82:$D$95,MATCH('Cash Flows'!J$6,ProposedLoansWkst!$C$82:$C$95,0))+INDEX('Loans to Cash Flows Wkst'!$D$84:$D$97,MATCH('Cash Flows'!J$6,'Loans to Cash Flows Wkst'!$C$18:$C$31,0))</f>
        <v>0</v>
      </c>
      <c r="K142" s="504">
        <f>INDEX(ProposedLoansWkst!$D$82:$D$95,MATCH('Cash Flows'!K$6,ProposedLoansWkst!$C$82:$C$95,0))+INDEX('Loans to Cash Flows Wkst'!$D$84:$D$97,MATCH('Cash Flows'!K$6,'Loans to Cash Flows Wkst'!$C$18:$C$31,0))</f>
        <v>0</v>
      </c>
      <c r="L142" s="504">
        <f>INDEX(ProposedLoansWkst!$D$82:$D$95,MATCH('Cash Flows'!L$6,ProposedLoansWkst!$C$82:$C$95,0))+INDEX('Loans to Cash Flows Wkst'!$D$84:$D$97,MATCH('Cash Flows'!L$6,'Loans to Cash Flows Wkst'!$C$18:$C$31,0))</f>
        <v>0</v>
      </c>
      <c r="M142" s="504">
        <f>INDEX(ProposedLoansWkst!$D$82:$D$95,MATCH('Cash Flows'!M$6,ProposedLoansWkst!$C$82:$C$95,0))+INDEX('Loans to Cash Flows Wkst'!$D$84:$D$97,MATCH('Cash Flows'!M$6,'Loans to Cash Flows Wkst'!$C$18:$C$31,0))</f>
        <v>0</v>
      </c>
      <c r="N142" s="504">
        <f>INDEX(ProposedLoansWkst!$D$82:$D$95,MATCH('Cash Flows'!N$6,ProposedLoansWkst!$C$82:$C$95,0))+INDEX('Loans to Cash Flows Wkst'!$D$84:$D$97,MATCH('Cash Flows'!N$6,'Loans to Cash Flows Wkst'!$C$18:$C$31,0))</f>
        <v>0</v>
      </c>
      <c r="O142" s="504">
        <f>INDEX(ProposedLoansWkst!$D$82:$D$95,MATCH('Cash Flows'!O$6,ProposedLoansWkst!$C$82:$C$95,0))+INDEX('Loans to Cash Flows Wkst'!$D$84:$D$97,MATCH('Cash Flows'!O$6,'Loans to Cash Flows Wkst'!$C$18:$C$31,0))</f>
        <v>0</v>
      </c>
      <c r="P142" s="504">
        <f>INDEX(ProposedLoansWkst!$D$82:$D$95,MATCH('Cash Flows'!P$6,ProposedLoansWkst!$C$82:$C$95,0))+INDEX('Loans to Cash Flows Wkst'!$D$84:$D$97,MATCH('Cash Flows'!P$6,'Loans to Cash Flows Wkst'!$C$18:$C$31,0))</f>
        <v>0</v>
      </c>
      <c r="Q142" s="505">
        <f>INDEX(ProposedLoansWkst!$D$82:$D$95,MATCH('Cash Flows'!Q$6,ProposedLoansWkst!$C$82:$C$95,0))+INDEX('Loans to Cash Flows Wkst'!$D$84:$D$97,MATCH('Cash Flows'!Q$6,'Loans to Cash Flows Wkst'!$C$18:$C$31,0))</f>
        <v>0</v>
      </c>
      <c r="T142" s="150"/>
    </row>
    <row r="143" spans="1:20" ht="12" customHeight="1" x14ac:dyDescent="0.2">
      <c r="A143" s="56"/>
      <c r="B143" s="260" t="s">
        <v>134</v>
      </c>
      <c r="C143" s="161"/>
      <c r="D143" s="394"/>
      <c r="E143" s="546">
        <f>SUM(F143:Q143)</f>
        <v>0</v>
      </c>
      <c r="F143" s="503">
        <f>+INDEX(ProposedLoansWkst!$F$18:$F$31,MATCH('Cash Flows'!F$6,ProposedLoansWkst!$C$18:$C$31,0))</f>
        <v>0</v>
      </c>
      <c r="G143" s="504">
        <f>+INDEX(ProposedLoansWkst!$F$18:$F$31,MATCH('Cash Flows'!G$6,ProposedLoansWkst!$C$18:$C$31,0))</f>
        <v>0</v>
      </c>
      <c r="H143" s="504">
        <f>+INDEX(ProposedLoansWkst!$F$18:$F$31,MATCH('Cash Flows'!H$6,ProposedLoansWkst!$C$18:$C$31,0))</f>
        <v>0</v>
      </c>
      <c r="I143" s="504">
        <f>+INDEX(ProposedLoansWkst!$F$18:$F$31,MATCH('Cash Flows'!I$6,ProposedLoansWkst!$C$18:$C$31,0))</f>
        <v>0</v>
      </c>
      <c r="J143" s="504">
        <f>+INDEX(ProposedLoansWkst!$F$18:$F$31,MATCH('Cash Flows'!J$6,ProposedLoansWkst!$C$18:$C$31,0))</f>
        <v>0</v>
      </c>
      <c r="K143" s="504">
        <f>+INDEX(ProposedLoansWkst!$F$18:$F$31,MATCH('Cash Flows'!K$6,ProposedLoansWkst!$C$18:$C$31,0))</f>
        <v>0</v>
      </c>
      <c r="L143" s="504">
        <f>+INDEX(ProposedLoansWkst!$F$18:$F$31,MATCH('Cash Flows'!L$6,ProposedLoansWkst!$C$18:$C$31,0))</f>
        <v>0</v>
      </c>
      <c r="M143" s="504">
        <f>+INDEX(ProposedLoansWkst!$F$18:$F$31,MATCH('Cash Flows'!M$6,ProposedLoansWkst!$C$18:$C$31,0))</f>
        <v>0</v>
      </c>
      <c r="N143" s="504">
        <f>+INDEX(ProposedLoansWkst!$F$18:$F$31,MATCH('Cash Flows'!N$6,ProposedLoansWkst!$C$18:$C$31,0))</f>
        <v>0</v>
      </c>
      <c r="O143" s="504">
        <f>+INDEX(ProposedLoansWkst!$F$18:$F$31,MATCH('Cash Flows'!O$6,ProposedLoansWkst!$C$18:$C$31,0))</f>
        <v>0</v>
      </c>
      <c r="P143" s="504">
        <f>+INDEX(ProposedLoansWkst!$F$18:$F$31,MATCH('Cash Flows'!P$6,ProposedLoansWkst!$C$18:$C$31,0))</f>
        <v>0</v>
      </c>
      <c r="Q143" s="505">
        <f>+INDEX(ProposedLoansWkst!$F$18:$F$31,MATCH('Cash Flows'!Q$6,ProposedLoansWkst!$C$18:$C$31,0))</f>
        <v>0</v>
      </c>
      <c r="T143" s="150"/>
    </row>
    <row r="144" spans="1:20" ht="12" customHeight="1" x14ac:dyDescent="0.2">
      <c r="A144" s="56"/>
      <c r="B144" s="260" t="s">
        <v>218</v>
      </c>
      <c r="C144" s="161"/>
      <c r="D144" s="394"/>
      <c r="E144" s="546">
        <f>SUM(F144:Q144)</f>
        <v>0</v>
      </c>
      <c r="F144" s="503">
        <f>+INDEX(ProposedLoansWkst!$F$82:$F$95,MATCH('Cash Flows'!F$6,ProposedLoansWkst!$C$82:$C$95,0))</f>
        <v>0</v>
      </c>
      <c r="G144" s="504">
        <f>+INDEX(ProposedLoansWkst!$F$82:$F$95,MATCH('Cash Flows'!G$6,ProposedLoansWkst!$C$82:$C$95,0))</f>
        <v>0</v>
      </c>
      <c r="H144" s="504">
        <f>+INDEX(ProposedLoansWkst!$F$82:$F$95,MATCH('Cash Flows'!H$6,ProposedLoansWkst!$C$82:$C$95,0))</f>
        <v>0</v>
      </c>
      <c r="I144" s="504">
        <f>+INDEX(ProposedLoansWkst!$F$82:$F$95,MATCH('Cash Flows'!I$6,ProposedLoansWkst!$C$82:$C$95,0))</f>
        <v>0</v>
      </c>
      <c r="J144" s="504">
        <f>+INDEX(ProposedLoansWkst!$F$82:$F$95,MATCH('Cash Flows'!J$6,ProposedLoansWkst!$C$82:$C$95,0))</f>
        <v>0</v>
      </c>
      <c r="K144" s="504">
        <f>+INDEX(ProposedLoansWkst!$F$82:$F$95,MATCH('Cash Flows'!K$6,ProposedLoansWkst!$C$82:$C$95,0))</f>
        <v>0</v>
      </c>
      <c r="L144" s="504">
        <f>+INDEX(ProposedLoansWkst!$F$82:$F$95,MATCH('Cash Flows'!L$6,ProposedLoansWkst!$C$82:$C$95,0))</f>
        <v>0</v>
      </c>
      <c r="M144" s="504">
        <f>+INDEX(ProposedLoansWkst!$F$82:$F$95,MATCH('Cash Flows'!M$6,ProposedLoansWkst!$C$82:$C$95,0))</f>
        <v>0</v>
      </c>
      <c r="N144" s="504">
        <f>+INDEX(ProposedLoansWkst!$F$82:$F$95,MATCH('Cash Flows'!N$6,ProposedLoansWkst!$C$82:$C$95,0))</f>
        <v>0</v>
      </c>
      <c r="O144" s="504">
        <f>+INDEX(ProposedLoansWkst!$F$82:$F$95,MATCH('Cash Flows'!O$6,ProposedLoansWkst!$C$82:$C$95,0))</f>
        <v>0</v>
      </c>
      <c r="P144" s="504">
        <f>+INDEX(ProposedLoansWkst!$F$82:$F$95,MATCH('Cash Flows'!P$6,ProposedLoansWkst!$C$82:$C$95,0))</f>
        <v>0</v>
      </c>
      <c r="Q144" s="505">
        <f>+INDEX(ProposedLoansWkst!$F$82:$F$95,MATCH('Cash Flows'!Q$6,ProposedLoansWkst!$C$82:$C$95,0))</f>
        <v>0</v>
      </c>
      <c r="T144" s="150"/>
    </row>
    <row r="145" spans="1:20" ht="6.95" customHeight="1" x14ac:dyDescent="0.2">
      <c r="A145" s="3" t="s">
        <v>450</v>
      </c>
      <c r="B145" s="256"/>
      <c r="C145" s="10"/>
      <c r="D145" s="407"/>
      <c r="E145" s="547"/>
      <c r="F145" s="374"/>
      <c r="G145" s="385"/>
      <c r="H145" s="385"/>
      <c r="I145" s="385"/>
      <c r="J145" s="385"/>
      <c r="K145" s="385"/>
      <c r="L145" s="385"/>
      <c r="M145" s="385"/>
      <c r="N145" s="385"/>
      <c r="O145" s="385"/>
      <c r="P145" s="385"/>
      <c r="Q145" s="356"/>
      <c r="T145" s="150"/>
    </row>
    <row r="146" spans="1:20" x14ac:dyDescent="0.2">
      <c r="A146" s="56"/>
      <c r="B146" s="262" t="s">
        <v>122</v>
      </c>
      <c r="C146" s="176"/>
      <c r="D146" s="412">
        <f t="shared" ref="D146:Q146" si="23">IF(HowSell="Direct to Processor",0,D111-D137-D141-D142+D143+D144)</f>
        <v>0</v>
      </c>
      <c r="E146" s="556">
        <f t="shared" si="23"/>
        <v>0</v>
      </c>
      <c r="F146" s="416">
        <f t="shared" si="23"/>
        <v>0</v>
      </c>
      <c r="G146" s="419">
        <f t="shared" si="23"/>
        <v>0</v>
      </c>
      <c r="H146" s="419">
        <f t="shared" si="23"/>
        <v>0</v>
      </c>
      <c r="I146" s="419">
        <f t="shared" si="23"/>
        <v>0</v>
      </c>
      <c r="J146" s="419">
        <f t="shared" si="23"/>
        <v>0</v>
      </c>
      <c r="K146" s="419">
        <f t="shared" si="23"/>
        <v>0</v>
      </c>
      <c r="L146" s="419">
        <f t="shared" si="23"/>
        <v>0</v>
      </c>
      <c r="M146" s="419">
        <f t="shared" si="23"/>
        <v>0</v>
      </c>
      <c r="N146" s="419">
        <f t="shared" si="23"/>
        <v>0</v>
      </c>
      <c r="O146" s="419">
        <f t="shared" si="23"/>
        <v>0</v>
      </c>
      <c r="P146" s="419">
        <f t="shared" si="23"/>
        <v>0</v>
      </c>
      <c r="Q146" s="364">
        <f t="shared" si="23"/>
        <v>0</v>
      </c>
      <c r="T146" s="150"/>
    </row>
    <row r="147" spans="1:20" ht="6.95" customHeight="1" x14ac:dyDescent="0.2">
      <c r="B147" s="256"/>
      <c r="C147" s="10"/>
      <c r="D147" s="407"/>
      <c r="E147" s="547"/>
      <c r="F147" s="374"/>
      <c r="G147" s="385"/>
      <c r="H147" s="385"/>
      <c r="I147" s="385"/>
      <c r="J147" s="385"/>
      <c r="K147" s="385"/>
      <c r="L147" s="385"/>
      <c r="M147" s="385"/>
      <c r="N147" s="385"/>
      <c r="O147" s="385"/>
      <c r="P147" s="385"/>
      <c r="Q147" s="356"/>
      <c r="T147" s="150"/>
    </row>
    <row r="148" spans="1:20" ht="12" customHeight="1" thickBot="1" x14ac:dyDescent="0.25">
      <c r="A148" s="3" t="s">
        <v>450</v>
      </c>
      <c r="B148" s="267" t="s">
        <v>125</v>
      </c>
      <c r="C148" s="268"/>
      <c r="D148" s="413"/>
      <c r="E148" s="557"/>
      <c r="F148" s="378">
        <f>IF(HowSell="Direct to Processor",0,F146)</f>
        <v>0</v>
      </c>
      <c r="G148" s="389">
        <f t="shared" ref="G148:Q148" si="24">IF(HowSell="direct to processor",0,F148+G146)</f>
        <v>0</v>
      </c>
      <c r="H148" s="389">
        <f t="shared" si="24"/>
        <v>0</v>
      </c>
      <c r="I148" s="389">
        <f t="shared" si="24"/>
        <v>0</v>
      </c>
      <c r="J148" s="389">
        <f t="shared" si="24"/>
        <v>0</v>
      </c>
      <c r="K148" s="389">
        <f t="shared" si="24"/>
        <v>0</v>
      </c>
      <c r="L148" s="389">
        <f t="shared" si="24"/>
        <v>0</v>
      </c>
      <c r="M148" s="389">
        <f t="shared" si="24"/>
        <v>0</v>
      </c>
      <c r="N148" s="389">
        <f t="shared" si="24"/>
        <v>0</v>
      </c>
      <c r="O148" s="389">
        <f t="shared" si="24"/>
        <v>0</v>
      </c>
      <c r="P148" s="389">
        <f t="shared" si="24"/>
        <v>0</v>
      </c>
      <c r="Q148" s="359">
        <f t="shared" si="24"/>
        <v>0</v>
      </c>
      <c r="T148" s="150"/>
    </row>
    <row r="149" spans="1:20" ht="5.0999999999999996" customHeight="1" x14ac:dyDescent="0.2">
      <c r="A149" s="3" t="s">
        <v>450</v>
      </c>
      <c r="B149" s="258"/>
      <c r="C149" s="13"/>
      <c r="D149" s="405"/>
      <c r="E149" s="558"/>
      <c r="F149" s="385"/>
      <c r="G149" s="385"/>
      <c r="H149" s="393"/>
      <c r="I149" s="393"/>
      <c r="J149" s="393"/>
      <c r="K149" s="393"/>
      <c r="L149" s="393"/>
      <c r="M149" s="393"/>
      <c r="N149" s="393"/>
      <c r="O149" s="393"/>
      <c r="P149" s="393"/>
      <c r="Q149" s="354"/>
      <c r="T149" s="150"/>
    </row>
    <row r="150" spans="1:20" ht="12" customHeight="1" x14ac:dyDescent="0.2">
      <c r="A150" s="56"/>
      <c r="B150" s="258" t="s">
        <v>223</v>
      </c>
      <c r="C150" s="13"/>
      <c r="D150" s="405"/>
      <c r="E150" s="531"/>
      <c r="F150" s="385"/>
      <c r="G150" s="385"/>
      <c r="H150" s="393"/>
      <c r="I150" s="393"/>
      <c r="J150" s="393"/>
      <c r="K150" s="393"/>
      <c r="L150" s="393"/>
      <c r="M150" s="393"/>
      <c r="N150" s="393"/>
      <c r="O150" s="393"/>
      <c r="P150" s="393"/>
      <c r="Q150" s="354"/>
      <c r="T150" s="150"/>
    </row>
    <row r="151" spans="1:20" ht="12" customHeight="1" x14ac:dyDescent="0.2">
      <c r="A151" s="56"/>
      <c r="B151" s="247" t="s">
        <v>553</v>
      </c>
      <c r="C151" s="13"/>
      <c r="D151" s="622">
        <f>IF(D111&lt;&gt;0,IF(HowSell="Direct to Processor",0,(0.05*(D111-D109+D155))+(25000*NumberOperatorsValue)),0)</f>
        <v>0</v>
      </c>
      <c r="E151" s="615">
        <f>SUM(F151:Q151)</f>
        <v>0</v>
      </c>
      <c r="F151" s="622">
        <f>IF(F111&lt;&gt;0,IF(HowSell="Direct to Processor",0,(0.05*(F111-F109+F155))+((25000/(IF(SUM(G111:P111),12,1))*NumberOperatorsValue))),0)</f>
        <v>0</v>
      </c>
      <c r="G151" s="616">
        <f t="shared" ref="G151:Q151" si="25">IF(G111&lt;&gt;0,IF(HowSell="Direct to Processor",0,(0.05*(G111-G109+G155))+((25000/12)*NumberOperatorsValue)),0)</f>
        <v>0</v>
      </c>
      <c r="H151" s="616">
        <f t="shared" si="25"/>
        <v>0</v>
      </c>
      <c r="I151" s="616">
        <f t="shared" si="25"/>
        <v>0</v>
      </c>
      <c r="J151" s="616">
        <f t="shared" si="25"/>
        <v>0</v>
      </c>
      <c r="K151" s="616">
        <f t="shared" si="25"/>
        <v>0</v>
      </c>
      <c r="L151" s="616">
        <f t="shared" si="25"/>
        <v>0</v>
      </c>
      <c r="M151" s="616">
        <f t="shared" si="25"/>
        <v>0</v>
      </c>
      <c r="N151" s="616">
        <f t="shared" si="25"/>
        <v>0</v>
      </c>
      <c r="O151" s="616">
        <f t="shared" si="25"/>
        <v>0</v>
      </c>
      <c r="P151" s="616">
        <f t="shared" si="25"/>
        <v>0</v>
      </c>
      <c r="Q151" s="617">
        <f t="shared" si="25"/>
        <v>0</v>
      </c>
      <c r="T151" s="150"/>
    </row>
    <row r="152" spans="1:20" ht="12" customHeight="1" x14ac:dyDescent="0.2">
      <c r="A152" s="56"/>
      <c r="B152" s="260" t="s">
        <v>412</v>
      </c>
      <c r="C152" s="13"/>
      <c r="D152" s="633"/>
      <c r="E152" s="615">
        <f>SUM(F152:Q152)</f>
        <v>0</v>
      </c>
      <c r="F152" s="622"/>
      <c r="G152" s="616"/>
      <c r="H152" s="616"/>
      <c r="I152" s="616"/>
      <c r="J152" s="616"/>
      <c r="K152" s="616"/>
      <c r="L152" s="616"/>
      <c r="M152" s="616"/>
      <c r="N152" s="616"/>
      <c r="O152" s="616"/>
      <c r="P152" s="616"/>
      <c r="Q152" s="617">
        <f>IF(HowSell="Direct to Processor",0,InvOtherEntry-InvProjOthEntryProj)*-1</f>
        <v>0</v>
      </c>
      <c r="T152" s="150"/>
    </row>
    <row r="153" spans="1:20" s="6" customFormat="1" x14ac:dyDescent="0.2">
      <c r="A153" s="6" t="s">
        <v>450</v>
      </c>
      <c r="B153" s="260" t="s">
        <v>286</v>
      </c>
      <c r="C153" s="55"/>
      <c r="D153" s="394"/>
      <c r="E153" s="533">
        <f>SUM(F153:Q153)</f>
        <v>0</v>
      </c>
      <c r="F153" s="383"/>
      <c r="G153" s="383"/>
      <c r="H153" s="383"/>
      <c r="I153" s="383"/>
      <c r="J153" s="383"/>
      <c r="K153" s="383"/>
      <c r="L153" s="383"/>
      <c r="M153" s="383"/>
      <c r="N153" s="383"/>
      <c r="O153" s="383"/>
      <c r="P153" s="383"/>
      <c r="Q153" s="350"/>
      <c r="T153" s="150"/>
    </row>
    <row r="154" spans="1:20" ht="12" customHeight="1" x14ac:dyDescent="0.2">
      <c r="B154" s="259" t="s">
        <v>287</v>
      </c>
      <c r="C154" s="161"/>
      <c r="D154" s="394"/>
      <c r="E154" s="533">
        <f>SUM(F154:Q154)</f>
        <v>0</v>
      </c>
      <c r="F154" s="383"/>
      <c r="G154" s="383"/>
      <c r="H154" s="383"/>
      <c r="I154" s="383"/>
      <c r="J154" s="383"/>
      <c r="K154" s="383"/>
      <c r="L154" s="383"/>
      <c r="M154" s="383"/>
      <c r="N154" s="383"/>
      <c r="O154" s="383"/>
      <c r="P154" s="383"/>
      <c r="Q154" s="350"/>
      <c r="T154" s="150"/>
    </row>
    <row r="155" spans="1:20" x14ac:dyDescent="0.2">
      <c r="A155" s="3" t="s">
        <v>450</v>
      </c>
      <c r="B155" s="260" t="s">
        <v>535</v>
      </c>
      <c r="C155" s="55"/>
      <c r="D155" s="510">
        <f>D109-D154</f>
        <v>0</v>
      </c>
      <c r="E155" s="533">
        <f>SUM(F155:Q155)</f>
        <v>0</v>
      </c>
      <c r="F155" s="507">
        <f t="shared" ref="F155:Q155" si="26">F109-F154</f>
        <v>0</v>
      </c>
      <c r="G155" s="507">
        <f t="shared" si="26"/>
        <v>0</v>
      </c>
      <c r="H155" s="507">
        <f t="shared" si="26"/>
        <v>0</v>
      </c>
      <c r="I155" s="507">
        <f t="shared" si="26"/>
        <v>0</v>
      </c>
      <c r="J155" s="507">
        <f t="shared" si="26"/>
        <v>0</v>
      </c>
      <c r="K155" s="507">
        <f t="shared" si="26"/>
        <v>0</v>
      </c>
      <c r="L155" s="507">
        <f t="shared" si="26"/>
        <v>0</v>
      </c>
      <c r="M155" s="507">
        <f t="shared" si="26"/>
        <v>0</v>
      </c>
      <c r="N155" s="507">
        <f t="shared" si="26"/>
        <v>0</v>
      </c>
      <c r="O155" s="507">
        <f t="shared" si="26"/>
        <v>0</v>
      </c>
      <c r="P155" s="507">
        <f t="shared" si="26"/>
        <v>0</v>
      </c>
      <c r="Q155" s="508">
        <f t="shared" si="26"/>
        <v>0</v>
      </c>
      <c r="T155" s="150"/>
    </row>
    <row r="156" spans="1:20" ht="5.0999999999999996" customHeight="1" x14ac:dyDescent="0.2">
      <c r="A156" s="3" t="s">
        <v>450</v>
      </c>
      <c r="B156" s="258"/>
      <c r="C156" s="13"/>
      <c r="D156" s="405"/>
      <c r="E156" s="531"/>
      <c r="F156" s="385"/>
      <c r="G156" s="385"/>
      <c r="H156" s="393"/>
      <c r="I156" s="393"/>
      <c r="J156" s="393"/>
      <c r="K156" s="393"/>
      <c r="L156" s="393"/>
      <c r="M156" s="393"/>
      <c r="N156" s="393"/>
      <c r="O156" s="393"/>
      <c r="P156" s="393"/>
      <c r="Q156" s="354"/>
      <c r="T156" s="150"/>
    </row>
    <row r="157" spans="1:20" s="13" customFormat="1" ht="12" customHeight="1" thickBot="1" x14ac:dyDescent="0.25">
      <c r="A157" s="56" t="s">
        <v>450</v>
      </c>
      <c r="B157" s="257" t="s">
        <v>121</v>
      </c>
      <c r="C157" s="165"/>
      <c r="D157" s="411">
        <f t="shared" ref="D157:Q157" si="27">IF(HowSell="Direct to Processor",0,D111-D137-D109+D127-D152-D153+D155)</f>
        <v>0</v>
      </c>
      <c r="E157" s="537">
        <f t="shared" si="27"/>
        <v>0</v>
      </c>
      <c r="F157" s="387">
        <f t="shared" si="27"/>
        <v>0</v>
      </c>
      <c r="G157" s="387">
        <f t="shared" si="27"/>
        <v>0</v>
      </c>
      <c r="H157" s="387">
        <f t="shared" si="27"/>
        <v>0</v>
      </c>
      <c r="I157" s="387">
        <f t="shared" si="27"/>
        <v>0</v>
      </c>
      <c r="J157" s="387">
        <f t="shared" si="27"/>
        <v>0</v>
      </c>
      <c r="K157" s="387">
        <f t="shared" si="27"/>
        <v>0</v>
      </c>
      <c r="L157" s="387">
        <f t="shared" si="27"/>
        <v>0</v>
      </c>
      <c r="M157" s="387">
        <f t="shared" si="27"/>
        <v>0</v>
      </c>
      <c r="N157" s="387">
        <f t="shared" si="27"/>
        <v>0</v>
      </c>
      <c r="O157" s="387">
        <f t="shared" si="27"/>
        <v>0</v>
      </c>
      <c r="P157" s="387">
        <f t="shared" si="27"/>
        <v>0</v>
      </c>
      <c r="Q157" s="357">
        <f t="shared" si="27"/>
        <v>0</v>
      </c>
      <c r="T157" s="150"/>
    </row>
    <row r="158" spans="1:20" ht="3.95" customHeight="1" thickTop="1" x14ac:dyDescent="0.2">
      <c r="A158" s="3" t="s">
        <v>456</v>
      </c>
      <c r="D158" s="223"/>
      <c r="E158" s="540"/>
      <c r="F158" s="352"/>
      <c r="G158" s="352"/>
      <c r="H158" s="352"/>
      <c r="I158" s="352"/>
      <c r="J158" s="352"/>
      <c r="K158" s="352"/>
      <c r="L158" s="352"/>
      <c r="M158" s="352"/>
      <c r="N158" s="352"/>
      <c r="O158" s="352"/>
      <c r="P158" s="352"/>
      <c r="Q158" s="352"/>
      <c r="T158" s="150"/>
    </row>
    <row r="159" spans="1:20" ht="9.9499999999999993" customHeight="1" x14ac:dyDescent="0.2">
      <c r="B159" s="1051" t="s">
        <v>542</v>
      </c>
      <c r="D159" s="223"/>
      <c r="E159" s="219"/>
      <c r="F159" s="352"/>
      <c r="G159" s="352"/>
      <c r="H159" s="352"/>
      <c r="I159" s="352"/>
      <c r="J159" s="352"/>
      <c r="K159" s="352"/>
      <c r="L159" s="352"/>
      <c r="M159" s="352"/>
      <c r="N159" s="352"/>
      <c r="O159" s="352"/>
      <c r="P159" s="352"/>
      <c r="Q159" s="352"/>
      <c r="T159" s="150"/>
    </row>
    <row r="160" spans="1:20" ht="9.9499999999999993" customHeight="1" x14ac:dyDescent="0.2">
      <c r="B160" s="1051"/>
      <c r="D160" s="223"/>
      <c r="E160" s="219"/>
      <c r="F160" s="352"/>
      <c r="G160" s="352"/>
      <c r="H160" s="352"/>
      <c r="I160" s="352"/>
      <c r="J160" s="352"/>
      <c r="K160" s="352"/>
      <c r="L160" s="352"/>
      <c r="M160" s="352"/>
      <c r="N160" s="352"/>
      <c r="O160" s="352"/>
      <c r="P160" s="352"/>
      <c r="Q160" s="352"/>
      <c r="T160" s="150"/>
    </row>
    <row r="161" spans="2:17" ht="13.5" thickBot="1" x14ac:dyDescent="0.25">
      <c r="B161" s="1052"/>
      <c r="D161" s="223"/>
      <c r="E161" s="221"/>
      <c r="F161" s="352"/>
      <c r="G161" s="352"/>
      <c r="H161" s="353"/>
      <c r="I161" s="353"/>
      <c r="J161" s="353"/>
      <c r="K161" s="353"/>
      <c r="L161" s="353"/>
      <c r="M161" s="353"/>
      <c r="N161" s="353"/>
      <c r="O161" s="353"/>
      <c r="P161" s="353"/>
      <c r="Q161" s="353"/>
    </row>
    <row r="162" spans="2:17" s="44" customFormat="1" ht="15" x14ac:dyDescent="0.2">
      <c r="B162" s="269" t="s">
        <v>135</v>
      </c>
      <c r="C162" s="270"/>
      <c r="D162" s="408"/>
      <c r="E162" s="559" t="s">
        <v>16</v>
      </c>
      <c r="F162" s="414" t="s">
        <v>5</v>
      </c>
      <c r="G162" s="417" t="s">
        <v>6</v>
      </c>
      <c r="H162" s="417" t="s">
        <v>7</v>
      </c>
      <c r="I162" s="417" t="s">
        <v>8</v>
      </c>
      <c r="J162" s="417" t="s">
        <v>4</v>
      </c>
      <c r="K162" s="417" t="s">
        <v>9</v>
      </c>
      <c r="L162" s="417" t="s">
        <v>10</v>
      </c>
      <c r="M162" s="417" t="s">
        <v>11</v>
      </c>
      <c r="N162" s="417" t="s">
        <v>12</v>
      </c>
      <c r="O162" s="417" t="s">
        <v>13</v>
      </c>
      <c r="P162" s="417" t="s">
        <v>14</v>
      </c>
      <c r="Q162" s="362" t="s">
        <v>15</v>
      </c>
    </row>
    <row r="163" spans="2:17" ht="12" customHeight="1" x14ac:dyDescent="0.2">
      <c r="B163" s="258" t="s">
        <v>136</v>
      </c>
      <c r="C163" s="13"/>
      <c r="D163" s="405"/>
      <c r="E163" s="531"/>
      <c r="F163" s="428"/>
      <c r="G163" s="431"/>
      <c r="H163" s="435"/>
      <c r="I163" s="435"/>
      <c r="J163" s="435"/>
      <c r="K163" s="435"/>
      <c r="L163" s="435"/>
      <c r="M163" s="435"/>
      <c r="N163" s="435"/>
      <c r="O163" s="435"/>
      <c r="P163" s="435"/>
      <c r="Q163" s="361"/>
    </row>
    <row r="164" spans="2:17" x14ac:dyDescent="0.2">
      <c r="B164" s="264" t="s">
        <v>17</v>
      </c>
      <c r="C164" s="156"/>
      <c r="D164" s="420"/>
      <c r="E164" s="532">
        <f t="shared" ref="E164:E169" si="28">SUM(F164:Q164)</f>
        <v>0</v>
      </c>
      <c r="F164" s="371"/>
      <c r="G164" s="382"/>
      <c r="H164" s="382"/>
      <c r="I164" s="382"/>
      <c r="J164" s="382"/>
      <c r="K164" s="382"/>
      <c r="L164" s="382"/>
      <c r="M164" s="382"/>
      <c r="N164" s="382"/>
      <c r="O164" s="382"/>
      <c r="P164" s="382"/>
      <c r="Q164" s="349"/>
    </row>
    <row r="165" spans="2:17" x14ac:dyDescent="0.2">
      <c r="B165" s="261" t="s">
        <v>132</v>
      </c>
      <c r="C165" s="157"/>
      <c r="D165" s="395"/>
      <c r="E165" s="533">
        <f t="shared" si="28"/>
        <v>0</v>
      </c>
      <c r="F165" s="372"/>
      <c r="G165" s="383"/>
      <c r="H165" s="383"/>
      <c r="I165" s="383"/>
      <c r="J165" s="383"/>
      <c r="K165" s="383"/>
      <c r="L165" s="383"/>
      <c r="M165" s="383"/>
      <c r="N165" s="383"/>
      <c r="O165" s="383"/>
      <c r="P165" s="383"/>
      <c r="Q165" s="350"/>
    </row>
    <row r="166" spans="2:17" x14ac:dyDescent="0.2">
      <c r="B166" s="259" t="s">
        <v>131</v>
      </c>
      <c r="C166" s="161"/>
      <c r="D166" s="394">
        <v>0</v>
      </c>
      <c r="E166" s="533">
        <f t="shared" si="28"/>
        <v>0</v>
      </c>
      <c r="F166" s="372"/>
      <c r="G166" s="383"/>
      <c r="H166" s="383"/>
      <c r="I166" s="383"/>
      <c r="J166" s="383"/>
      <c r="K166" s="383"/>
      <c r="L166" s="383"/>
      <c r="M166" s="383"/>
      <c r="N166" s="383"/>
      <c r="O166" s="383"/>
      <c r="P166" s="383"/>
      <c r="Q166" s="350"/>
    </row>
    <row r="167" spans="2:17" x14ac:dyDescent="0.2">
      <c r="B167" s="259" t="s">
        <v>216</v>
      </c>
      <c r="C167" s="161"/>
      <c r="D167" s="394">
        <v>0</v>
      </c>
      <c r="E167" s="533">
        <f t="shared" si="28"/>
        <v>0</v>
      </c>
      <c r="F167" s="506">
        <f>(INDEX(ProposedLoansWkst!$F$50:$F$63,MATCH('Cash Flows'!F$6,ProposedLoansWkst!$C$50:$C$63,0)))</f>
        <v>0</v>
      </c>
      <c r="G167" s="507">
        <f>(INDEX(ProposedLoansWkst!$F$50:$F$63,MATCH('Cash Flows'!G$6,ProposedLoansWkst!$C$50:$C$63,0)))</f>
        <v>0</v>
      </c>
      <c r="H167" s="507">
        <f>(INDEX(ProposedLoansWkst!$F$50:$F$63,MATCH('Cash Flows'!H$6,ProposedLoansWkst!$C$50:$C$63,0)))</f>
        <v>0</v>
      </c>
      <c r="I167" s="507">
        <f>(INDEX(ProposedLoansWkst!$F$50:$F$63,MATCH('Cash Flows'!I$6,ProposedLoansWkst!$C$50:$C$63,0)))</f>
        <v>0</v>
      </c>
      <c r="J167" s="507">
        <f>(INDEX(ProposedLoansWkst!$F$50:$F$63,MATCH('Cash Flows'!J$6,ProposedLoansWkst!$C$50:$C$63,0)))</f>
        <v>0</v>
      </c>
      <c r="K167" s="507">
        <f>(INDEX(ProposedLoansWkst!$F$50:$F$63,MATCH('Cash Flows'!K$6,ProposedLoansWkst!$C$50:$C$63,0)))</f>
        <v>0</v>
      </c>
      <c r="L167" s="507">
        <f>(INDEX(ProposedLoansWkst!$F$50:$F$63,MATCH('Cash Flows'!L$6,ProposedLoansWkst!$C$50:$C$63,0)))</f>
        <v>0</v>
      </c>
      <c r="M167" s="507">
        <f>(INDEX(ProposedLoansWkst!$F$50:$F$63,MATCH('Cash Flows'!M$6,ProposedLoansWkst!$C$50:$C$63,0)))</f>
        <v>0</v>
      </c>
      <c r="N167" s="507">
        <f>(INDEX(ProposedLoansWkst!$F$50:$F$63,MATCH('Cash Flows'!N$6,ProposedLoansWkst!$C$50:$C$63,0)))</f>
        <v>0</v>
      </c>
      <c r="O167" s="507">
        <f>(INDEX(ProposedLoansWkst!$F$50:$F$63,MATCH('Cash Flows'!O$6,ProposedLoansWkst!$C$50:$C$63,0)))</f>
        <v>0</v>
      </c>
      <c r="P167" s="507">
        <f>(INDEX(ProposedLoansWkst!$F$50:$F$63,MATCH('Cash Flows'!P$6,ProposedLoansWkst!$C$50:$C$63,0)))</f>
        <v>0</v>
      </c>
      <c r="Q167" s="508">
        <f>(INDEX(ProposedLoansWkst!$F$50:$F$63,MATCH('Cash Flows'!Q$6,ProposedLoansWkst!$C$50:$C$63,0)))</f>
        <v>0</v>
      </c>
    </row>
    <row r="168" spans="2:17" x14ac:dyDescent="0.2">
      <c r="B168" s="259" t="s">
        <v>217</v>
      </c>
      <c r="C168" s="161"/>
      <c r="D168" s="394">
        <v>0</v>
      </c>
      <c r="E168" s="533">
        <f t="shared" si="28"/>
        <v>0</v>
      </c>
      <c r="F168" s="506">
        <f>INDEX(ProposedLoansWkst!$F$34:$F$47,MATCH('Cash Flows'!F$6,ProposedLoansWkst!$C$34:$C$47,0))</f>
        <v>0</v>
      </c>
      <c r="G168" s="507">
        <f>INDEX(ProposedLoansWkst!$F$34:$F$47,MATCH('Cash Flows'!G$6,ProposedLoansWkst!$C$34:$C$47,0))</f>
        <v>0</v>
      </c>
      <c r="H168" s="507">
        <f>INDEX(ProposedLoansWkst!$F$34:$F$47,MATCH('Cash Flows'!H$6,ProposedLoansWkst!$C$34:$C$47,0))</f>
        <v>0</v>
      </c>
      <c r="I168" s="507">
        <f>INDEX(ProposedLoansWkst!$F$34:$F$47,MATCH('Cash Flows'!I$6,ProposedLoansWkst!$C$34:$C$47,0))</f>
        <v>0</v>
      </c>
      <c r="J168" s="507">
        <f>INDEX(ProposedLoansWkst!$F$34:$F$47,MATCH('Cash Flows'!J$6,ProposedLoansWkst!$C$34:$C$47,0))</f>
        <v>0</v>
      </c>
      <c r="K168" s="507">
        <f>INDEX(ProposedLoansWkst!$F$34:$F$47,MATCH('Cash Flows'!K$6,ProposedLoansWkst!$C$34:$C$47,0))</f>
        <v>0</v>
      </c>
      <c r="L168" s="507">
        <f>INDEX(ProposedLoansWkst!$F$34:$F$47,MATCH('Cash Flows'!L$6,ProposedLoansWkst!$C$34:$C$47,0))</f>
        <v>0</v>
      </c>
      <c r="M168" s="507">
        <f>INDEX(ProposedLoansWkst!$F$34:$F$47,MATCH('Cash Flows'!M$6,ProposedLoansWkst!$C$34:$C$47,0))</f>
        <v>0</v>
      </c>
      <c r="N168" s="507">
        <f>INDEX(ProposedLoansWkst!$F$34:$F$47,MATCH('Cash Flows'!N$6,ProposedLoansWkst!$C$34:$C$47,0))</f>
        <v>0</v>
      </c>
      <c r="O168" s="507">
        <f>INDEX(ProposedLoansWkst!$F$34:$F$47,MATCH('Cash Flows'!O$6,ProposedLoansWkst!$C$34:$C$47,0))</f>
        <v>0</v>
      </c>
      <c r="P168" s="507">
        <f>INDEX(ProposedLoansWkst!$F$34:$F$47,MATCH('Cash Flows'!P$6,ProposedLoansWkst!$C$34:$C$47,0))</f>
        <v>0</v>
      </c>
      <c r="Q168" s="508">
        <f>INDEX(ProposedLoansWkst!$F$34:$F$47,MATCH('Cash Flows'!Q$6,ProposedLoansWkst!$C$34:$C$47,0))</f>
        <v>0</v>
      </c>
    </row>
    <row r="169" spans="2:17" x14ac:dyDescent="0.2">
      <c r="B169" s="264" t="s">
        <v>0</v>
      </c>
      <c r="C169" s="156"/>
      <c r="D169" s="420">
        <v>0</v>
      </c>
      <c r="E169" s="560">
        <f t="shared" si="28"/>
        <v>0</v>
      </c>
      <c r="F169" s="372"/>
      <c r="G169" s="383"/>
      <c r="H169" s="383"/>
      <c r="I169" s="383"/>
      <c r="J169" s="383"/>
      <c r="K169" s="383"/>
      <c r="L169" s="383"/>
      <c r="M169" s="383"/>
      <c r="N169" s="383"/>
      <c r="O169" s="383"/>
      <c r="P169" s="383"/>
      <c r="Q169" s="350"/>
    </row>
    <row r="170" spans="2:17" x14ac:dyDescent="0.2">
      <c r="B170" s="249" t="s">
        <v>142</v>
      </c>
      <c r="C170" s="163"/>
      <c r="D170" s="421">
        <f>SUM(D164:D169)</f>
        <v>0</v>
      </c>
      <c r="E170" s="544">
        <f>SUM(E164:E169)</f>
        <v>0</v>
      </c>
      <c r="F170" s="373">
        <f t="shared" ref="F170:Q170" si="29">SUM(F164:F169)</f>
        <v>0</v>
      </c>
      <c r="G170" s="384">
        <f t="shared" si="29"/>
        <v>0</v>
      </c>
      <c r="H170" s="384">
        <f t="shared" si="29"/>
        <v>0</v>
      </c>
      <c r="I170" s="384">
        <f t="shared" si="29"/>
        <v>0</v>
      </c>
      <c r="J170" s="384">
        <f t="shared" si="29"/>
        <v>0</v>
      </c>
      <c r="K170" s="384">
        <f t="shared" si="29"/>
        <v>0</v>
      </c>
      <c r="L170" s="384">
        <f t="shared" si="29"/>
        <v>0</v>
      </c>
      <c r="M170" s="384">
        <f t="shared" si="29"/>
        <v>0</v>
      </c>
      <c r="N170" s="384">
        <f t="shared" si="29"/>
        <v>0</v>
      </c>
      <c r="O170" s="384">
        <f t="shared" si="29"/>
        <v>0</v>
      </c>
      <c r="P170" s="384">
        <f t="shared" si="29"/>
        <v>0</v>
      </c>
      <c r="Q170" s="351">
        <f t="shared" si="29"/>
        <v>0</v>
      </c>
    </row>
    <row r="171" spans="2:17" ht="2.25" customHeight="1" x14ac:dyDescent="0.2">
      <c r="B171" s="243"/>
      <c r="D171" s="397"/>
      <c r="E171" s="531"/>
      <c r="F171" s="374"/>
      <c r="G171" s="385"/>
      <c r="H171" s="393"/>
      <c r="I171" s="393"/>
      <c r="J171" s="393"/>
      <c r="K171" s="393"/>
      <c r="L171" s="393"/>
      <c r="M171" s="393"/>
      <c r="N171" s="393"/>
      <c r="O171" s="393"/>
      <c r="P171" s="393"/>
      <c r="Q171" s="354"/>
    </row>
    <row r="172" spans="2:17" ht="12" customHeight="1" x14ac:dyDescent="0.2">
      <c r="B172" s="258" t="s">
        <v>137</v>
      </c>
      <c r="C172" s="13"/>
      <c r="D172" s="405"/>
      <c r="E172" s="531"/>
      <c r="F172" s="374"/>
      <c r="G172" s="385"/>
      <c r="H172" s="393"/>
      <c r="I172" s="393"/>
      <c r="J172" s="393"/>
      <c r="K172" s="393"/>
      <c r="L172" s="393"/>
      <c r="M172" s="393"/>
      <c r="N172" s="393"/>
      <c r="O172" s="393"/>
      <c r="P172" s="393"/>
      <c r="Q172" s="354"/>
    </row>
    <row r="173" spans="2:17" x14ac:dyDescent="0.2">
      <c r="B173" s="254" t="s">
        <v>144</v>
      </c>
      <c r="C173" s="46"/>
      <c r="D173" s="400"/>
      <c r="E173" s="532">
        <f t="shared" ref="E173:E200" si="30">SUM(F173:Q173)</f>
        <v>0</v>
      </c>
      <c r="F173" s="371"/>
      <c r="G173" s="382"/>
      <c r="H173" s="382"/>
      <c r="I173" s="382"/>
      <c r="J173" s="382"/>
      <c r="K173" s="382"/>
      <c r="L173" s="382"/>
      <c r="M173" s="382"/>
      <c r="N173" s="382"/>
      <c r="O173" s="382"/>
      <c r="P173" s="382"/>
      <c r="Q173" s="349"/>
    </row>
    <row r="174" spans="2:17" x14ac:dyDescent="0.2">
      <c r="B174" s="254" t="s">
        <v>145</v>
      </c>
      <c r="C174" s="50"/>
      <c r="D174" s="422">
        <v>0</v>
      </c>
      <c r="E174" s="533">
        <f t="shared" si="30"/>
        <v>0</v>
      </c>
      <c r="F174" s="372"/>
      <c r="G174" s="383"/>
      <c r="H174" s="383"/>
      <c r="I174" s="383"/>
      <c r="J174" s="383"/>
      <c r="K174" s="383"/>
      <c r="L174" s="383"/>
      <c r="M174" s="383"/>
      <c r="N174" s="383"/>
      <c r="O174" s="383"/>
      <c r="P174" s="383"/>
      <c r="Q174" s="350"/>
    </row>
    <row r="175" spans="2:17" s="6" customFormat="1" x14ac:dyDescent="0.2">
      <c r="B175" s="254" t="s">
        <v>146</v>
      </c>
      <c r="C175" s="50"/>
      <c r="D175" s="422">
        <v>0</v>
      </c>
      <c r="E175" s="533">
        <f t="shared" si="30"/>
        <v>0</v>
      </c>
      <c r="F175" s="372"/>
      <c r="G175" s="383"/>
      <c r="H175" s="383"/>
      <c r="I175" s="383"/>
      <c r="J175" s="383"/>
      <c r="K175" s="383"/>
      <c r="L175" s="383"/>
      <c r="M175" s="383"/>
      <c r="N175" s="383"/>
      <c r="O175" s="383"/>
      <c r="P175" s="383"/>
      <c r="Q175" s="350"/>
    </row>
    <row r="176" spans="2:17" x14ac:dyDescent="0.2">
      <c r="B176" s="254" t="s">
        <v>141</v>
      </c>
      <c r="C176" s="50"/>
      <c r="D176" s="422">
        <v>0</v>
      </c>
      <c r="E176" s="533">
        <f t="shared" si="30"/>
        <v>0</v>
      </c>
      <c r="F176" s="372"/>
      <c r="G176" s="383"/>
      <c r="H176" s="383"/>
      <c r="I176" s="383"/>
      <c r="J176" s="383"/>
      <c r="K176" s="383"/>
      <c r="L176" s="383"/>
      <c r="M176" s="383"/>
      <c r="N176" s="383"/>
      <c r="O176" s="383"/>
      <c r="P176" s="383"/>
      <c r="Q176" s="350"/>
    </row>
    <row r="177" spans="2:17" x14ac:dyDescent="0.2">
      <c r="B177" s="254" t="s">
        <v>155</v>
      </c>
      <c r="C177" s="50"/>
      <c r="D177" s="422">
        <v>0</v>
      </c>
      <c r="E177" s="533">
        <f t="shared" si="30"/>
        <v>0</v>
      </c>
      <c r="F177" s="372"/>
      <c r="G177" s="383"/>
      <c r="H177" s="383"/>
      <c r="I177" s="383"/>
      <c r="J177" s="383"/>
      <c r="K177" s="383"/>
      <c r="L177" s="383"/>
      <c r="M177" s="383"/>
      <c r="N177" s="383"/>
      <c r="O177" s="383"/>
      <c r="P177" s="383"/>
      <c r="Q177" s="350"/>
    </row>
    <row r="178" spans="2:17" x14ac:dyDescent="0.2">
      <c r="B178" s="254" t="s">
        <v>140</v>
      </c>
      <c r="C178" s="50"/>
      <c r="D178" s="422">
        <v>0</v>
      </c>
      <c r="E178" s="533">
        <f t="shared" si="30"/>
        <v>0</v>
      </c>
      <c r="F178" s="372"/>
      <c r="G178" s="383"/>
      <c r="H178" s="383"/>
      <c r="I178" s="383"/>
      <c r="J178" s="383"/>
      <c r="K178" s="383"/>
      <c r="L178" s="383"/>
      <c r="M178" s="383"/>
      <c r="N178" s="383"/>
      <c r="O178" s="383"/>
      <c r="P178" s="383"/>
      <c r="Q178" s="350"/>
    </row>
    <row r="179" spans="2:17" x14ac:dyDescent="0.2">
      <c r="B179" s="254" t="s">
        <v>147</v>
      </c>
      <c r="C179" s="50"/>
      <c r="D179" s="422">
        <v>0</v>
      </c>
      <c r="E179" s="533">
        <f t="shared" si="30"/>
        <v>0</v>
      </c>
      <c r="F179" s="372"/>
      <c r="G179" s="383"/>
      <c r="H179" s="383"/>
      <c r="I179" s="383"/>
      <c r="J179" s="383"/>
      <c r="K179" s="383"/>
      <c r="L179" s="383"/>
      <c r="M179" s="383"/>
      <c r="N179" s="383"/>
      <c r="O179" s="383"/>
      <c r="P179" s="383"/>
      <c r="Q179" s="350"/>
    </row>
    <row r="180" spans="2:17" x14ac:dyDescent="0.2">
      <c r="B180" s="254" t="s">
        <v>148</v>
      </c>
      <c r="C180" s="50"/>
      <c r="D180" s="422">
        <v>0</v>
      </c>
      <c r="E180" s="533">
        <f t="shared" si="30"/>
        <v>0</v>
      </c>
      <c r="F180" s="372"/>
      <c r="G180" s="383"/>
      <c r="H180" s="383"/>
      <c r="I180" s="383"/>
      <c r="J180" s="383"/>
      <c r="K180" s="383"/>
      <c r="L180" s="383"/>
      <c r="M180" s="383"/>
      <c r="N180" s="383"/>
      <c r="O180" s="383"/>
      <c r="P180" s="383"/>
      <c r="Q180" s="350"/>
    </row>
    <row r="181" spans="2:17" x14ac:dyDescent="0.2">
      <c r="B181" s="254" t="s">
        <v>149</v>
      </c>
      <c r="C181" s="50"/>
      <c r="D181" s="422">
        <v>0</v>
      </c>
      <c r="E181" s="533">
        <f t="shared" si="30"/>
        <v>0</v>
      </c>
      <c r="F181" s="372"/>
      <c r="G181" s="383"/>
      <c r="H181" s="383"/>
      <c r="I181" s="383"/>
      <c r="J181" s="383"/>
      <c r="K181" s="383"/>
      <c r="L181" s="383"/>
      <c r="M181" s="383"/>
      <c r="N181" s="383"/>
      <c r="O181" s="383"/>
      <c r="P181" s="383"/>
      <c r="Q181" s="350"/>
    </row>
    <row r="182" spans="2:17" x14ac:dyDescent="0.2">
      <c r="B182" s="254" t="s">
        <v>150</v>
      </c>
      <c r="C182" s="50"/>
      <c r="D182" s="422">
        <v>0</v>
      </c>
      <c r="E182" s="533">
        <f t="shared" si="30"/>
        <v>0</v>
      </c>
      <c r="F182" s="372"/>
      <c r="G182" s="383"/>
      <c r="H182" s="383"/>
      <c r="I182" s="383"/>
      <c r="J182" s="383"/>
      <c r="K182" s="383"/>
      <c r="L182" s="383"/>
      <c r="M182" s="383"/>
      <c r="N182" s="383"/>
      <c r="O182" s="383"/>
      <c r="P182" s="383"/>
      <c r="Q182" s="350"/>
    </row>
    <row r="183" spans="2:17" x14ac:dyDescent="0.2">
      <c r="B183" s="252" t="s">
        <v>2</v>
      </c>
      <c r="C183" s="50"/>
      <c r="D183" s="422">
        <v>0</v>
      </c>
      <c r="E183" s="533">
        <f t="shared" si="30"/>
        <v>0</v>
      </c>
      <c r="F183" s="372"/>
      <c r="G183" s="383"/>
      <c r="H183" s="383"/>
      <c r="I183" s="383"/>
      <c r="J183" s="383"/>
      <c r="K183" s="383"/>
      <c r="L183" s="383"/>
      <c r="M183" s="383"/>
      <c r="N183" s="383"/>
      <c r="O183" s="383"/>
      <c r="P183" s="383"/>
      <c r="Q183" s="350"/>
    </row>
    <row r="184" spans="2:17" x14ac:dyDescent="0.2">
      <c r="B184" s="254" t="s">
        <v>138</v>
      </c>
      <c r="C184" s="50"/>
      <c r="D184" s="422">
        <v>0</v>
      </c>
      <c r="E184" s="533">
        <f t="shared" si="30"/>
        <v>0</v>
      </c>
      <c r="F184" s="372"/>
      <c r="G184" s="383"/>
      <c r="H184" s="383"/>
      <c r="I184" s="383"/>
      <c r="J184" s="383"/>
      <c r="K184" s="383"/>
      <c r="L184" s="383"/>
      <c r="M184" s="383"/>
      <c r="N184" s="383"/>
      <c r="O184" s="383"/>
      <c r="P184" s="383"/>
      <c r="Q184" s="350"/>
    </row>
    <row r="185" spans="2:17" x14ac:dyDescent="0.2">
      <c r="B185" s="254" t="s">
        <v>151</v>
      </c>
      <c r="C185" s="50"/>
      <c r="D185" s="422">
        <v>0</v>
      </c>
      <c r="E185" s="533">
        <f t="shared" si="30"/>
        <v>0</v>
      </c>
      <c r="F185" s="372"/>
      <c r="G185" s="383"/>
      <c r="H185" s="383"/>
      <c r="I185" s="383"/>
      <c r="J185" s="383"/>
      <c r="K185" s="383"/>
      <c r="L185" s="383"/>
      <c r="M185" s="383"/>
      <c r="N185" s="383"/>
      <c r="O185" s="383"/>
      <c r="P185" s="383"/>
      <c r="Q185" s="350"/>
    </row>
    <row r="186" spans="2:17" x14ac:dyDescent="0.2">
      <c r="B186" s="254" t="s">
        <v>47</v>
      </c>
      <c r="C186" s="50"/>
      <c r="D186" s="422">
        <v>0</v>
      </c>
      <c r="E186" s="533">
        <f t="shared" si="30"/>
        <v>0</v>
      </c>
      <c r="F186" s="372"/>
      <c r="G186" s="383"/>
      <c r="H186" s="383"/>
      <c r="I186" s="383"/>
      <c r="J186" s="383"/>
      <c r="K186" s="383"/>
      <c r="L186" s="383"/>
      <c r="M186" s="383"/>
      <c r="N186" s="383"/>
      <c r="O186" s="383"/>
      <c r="P186" s="383"/>
      <c r="Q186" s="350"/>
    </row>
    <row r="187" spans="2:17" x14ac:dyDescent="0.2">
      <c r="B187" s="254" t="s">
        <v>152</v>
      </c>
      <c r="C187" s="46"/>
      <c r="D187" s="400">
        <v>0</v>
      </c>
      <c r="E187" s="533">
        <f t="shared" si="30"/>
        <v>0</v>
      </c>
      <c r="F187" s="372"/>
      <c r="G187" s="383"/>
      <c r="H187" s="383"/>
      <c r="I187" s="383"/>
      <c r="J187" s="383"/>
      <c r="K187" s="383"/>
      <c r="L187" s="383"/>
      <c r="M187" s="383"/>
      <c r="N187" s="383"/>
      <c r="O187" s="383"/>
      <c r="P187" s="383"/>
      <c r="Q187" s="350"/>
    </row>
    <row r="188" spans="2:17" x14ac:dyDescent="0.2">
      <c r="B188" s="265" t="s">
        <v>50</v>
      </c>
      <c r="C188" s="50"/>
      <c r="D188" s="422">
        <v>0</v>
      </c>
      <c r="E188" s="533">
        <f t="shared" si="30"/>
        <v>0</v>
      </c>
      <c r="F188" s="372"/>
      <c r="G188" s="383"/>
      <c r="H188" s="383"/>
      <c r="I188" s="383"/>
      <c r="J188" s="383"/>
      <c r="K188" s="383"/>
      <c r="L188" s="383"/>
      <c r="M188" s="383"/>
      <c r="N188" s="383"/>
      <c r="O188" s="383"/>
      <c r="P188" s="383"/>
      <c r="Q188" s="350"/>
    </row>
    <row r="189" spans="2:17" x14ac:dyDescent="0.2">
      <c r="B189" s="254" t="s">
        <v>203</v>
      </c>
      <c r="C189" s="50"/>
      <c r="D189" s="422">
        <v>0</v>
      </c>
      <c r="E189" s="533">
        <f t="shared" si="30"/>
        <v>0</v>
      </c>
      <c r="F189" s="372"/>
      <c r="G189" s="383"/>
      <c r="H189" s="383"/>
      <c r="I189" s="383"/>
      <c r="J189" s="383"/>
      <c r="K189" s="383"/>
      <c r="L189" s="383"/>
      <c r="M189" s="383"/>
      <c r="N189" s="383"/>
      <c r="O189" s="383"/>
      <c r="P189" s="383"/>
      <c r="Q189" s="350"/>
    </row>
    <row r="190" spans="2:17" x14ac:dyDescent="0.2">
      <c r="B190" s="254" t="s">
        <v>139</v>
      </c>
      <c r="C190" s="50"/>
      <c r="D190" s="422">
        <v>0</v>
      </c>
      <c r="E190" s="533">
        <f t="shared" si="30"/>
        <v>0</v>
      </c>
      <c r="F190" s="372"/>
      <c r="G190" s="383"/>
      <c r="H190" s="383"/>
      <c r="I190" s="383"/>
      <c r="J190" s="383"/>
      <c r="K190" s="383"/>
      <c r="L190" s="383"/>
      <c r="M190" s="383"/>
      <c r="N190" s="383"/>
      <c r="O190" s="383"/>
      <c r="P190" s="383"/>
      <c r="Q190" s="350"/>
    </row>
    <row r="191" spans="2:17" x14ac:dyDescent="0.2">
      <c r="B191" s="254" t="s">
        <v>153</v>
      </c>
      <c r="C191" s="50"/>
      <c r="D191" s="422">
        <v>0</v>
      </c>
      <c r="E191" s="533">
        <f t="shared" si="30"/>
        <v>0</v>
      </c>
      <c r="F191" s="372"/>
      <c r="G191" s="383"/>
      <c r="H191" s="383"/>
      <c r="I191" s="383"/>
      <c r="J191" s="383"/>
      <c r="K191" s="383"/>
      <c r="L191" s="383"/>
      <c r="M191" s="383"/>
      <c r="N191" s="383"/>
      <c r="O191" s="383"/>
      <c r="P191" s="383"/>
      <c r="Q191" s="350"/>
    </row>
    <row r="192" spans="2:17" x14ac:dyDescent="0.2">
      <c r="B192" s="254" t="s">
        <v>154</v>
      </c>
      <c r="C192" s="46"/>
      <c r="D192" s="400"/>
      <c r="E192" s="533">
        <f t="shared" si="30"/>
        <v>0</v>
      </c>
      <c r="F192" s="372"/>
      <c r="G192" s="383"/>
      <c r="H192" s="383"/>
      <c r="I192" s="383"/>
      <c r="J192" s="383"/>
      <c r="K192" s="383"/>
      <c r="L192" s="383"/>
      <c r="M192" s="383"/>
      <c r="N192" s="383"/>
      <c r="O192" s="383"/>
      <c r="P192" s="383"/>
      <c r="Q192" s="350"/>
    </row>
    <row r="193" spans="2:17" x14ac:dyDescent="0.2">
      <c r="B193" s="254" t="s">
        <v>204</v>
      </c>
      <c r="C193" s="46"/>
      <c r="D193" s="400">
        <v>0</v>
      </c>
      <c r="E193" s="533">
        <f t="shared" si="30"/>
        <v>0</v>
      </c>
      <c r="F193" s="506">
        <f>INDEX('Loans to Cash Flows Wkst'!$D$51:$D$64,MATCH('Cash Flows'!F$6,'Loans to Cash Flows Wkst'!$C$51:$C$64,0))+(INDEX(ProposedLoansWkst!$D$50:$D$63,MATCH('Cash Flows'!F$6,ProposedLoansWkst!$C$50:$C$63,0)))</f>
        <v>0</v>
      </c>
      <c r="G193" s="507">
        <f>INDEX('Loans to Cash Flows Wkst'!$D$51:$D$64,MATCH('Cash Flows'!G$6,'Loans to Cash Flows Wkst'!$C$51:$C$64,0))+(INDEX(ProposedLoansWkst!$D$50:$D$63,MATCH('Cash Flows'!G$6,ProposedLoansWkst!$C$50:$C$63,0)))</f>
        <v>0</v>
      </c>
      <c r="H193" s="507">
        <f>INDEX('Loans to Cash Flows Wkst'!$D$51:$D$64,MATCH('Cash Flows'!H$6,'Loans to Cash Flows Wkst'!$C$51:$C$64,0))+(INDEX(ProposedLoansWkst!$D$50:$D$63,MATCH('Cash Flows'!H$6,ProposedLoansWkst!$C$50:$C$63,0)))</f>
        <v>0</v>
      </c>
      <c r="I193" s="507">
        <f>INDEX('Loans to Cash Flows Wkst'!$D$51:$D$64,MATCH('Cash Flows'!I$6,'Loans to Cash Flows Wkst'!$C$51:$C$64,0))+(INDEX(ProposedLoansWkst!$D$50:$D$63,MATCH('Cash Flows'!I$6,ProposedLoansWkst!$C$50:$C$63,0)))</f>
        <v>0</v>
      </c>
      <c r="J193" s="507">
        <f>INDEX('Loans to Cash Flows Wkst'!$D$51:$D$64,MATCH('Cash Flows'!J$6,'Loans to Cash Flows Wkst'!$C$51:$C$64,0))+(INDEX(ProposedLoansWkst!$D$50:$D$63,MATCH('Cash Flows'!J$6,ProposedLoansWkst!$C$50:$C$63,0)))</f>
        <v>0</v>
      </c>
      <c r="K193" s="507">
        <f>INDEX('Loans to Cash Flows Wkst'!$D$51:$D$64,MATCH('Cash Flows'!K$6,'Loans to Cash Flows Wkst'!$C$51:$C$64,0))+(INDEX(ProposedLoansWkst!$D$50:$D$63,MATCH('Cash Flows'!K$6,ProposedLoansWkst!$C$50:$C$63,0)))</f>
        <v>0</v>
      </c>
      <c r="L193" s="507">
        <f>INDEX('Loans to Cash Flows Wkst'!$D$51:$D$64,MATCH('Cash Flows'!L$6,'Loans to Cash Flows Wkst'!$C$51:$C$64,0))+(INDEX(ProposedLoansWkst!$D$50:$D$63,MATCH('Cash Flows'!L$6,ProposedLoansWkst!$C$50:$C$63,0)))</f>
        <v>0</v>
      </c>
      <c r="M193" s="507">
        <f>INDEX('Loans to Cash Flows Wkst'!$D$51:$D$64,MATCH('Cash Flows'!M$6,'Loans to Cash Flows Wkst'!$C$51:$C$64,0))+(INDEX(ProposedLoansWkst!$D$50:$D$63,MATCH('Cash Flows'!M$6,ProposedLoansWkst!$C$50:$C$63,0)))</f>
        <v>0</v>
      </c>
      <c r="N193" s="507">
        <f>INDEX('Loans to Cash Flows Wkst'!$D$51:$D$64,MATCH('Cash Flows'!N$6,'Loans to Cash Flows Wkst'!$C$51:$C$64,0))+(INDEX(ProposedLoansWkst!$D$50:$D$63,MATCH('Cash Flows'!N$6,ProposedLoansWkst!$C$50:$C$63,0)))</f>
        <v>0</v>
      </c>
      <c r="O193" s="507">
        <f>INDEX('Loans to Cash Flows Wkst'!$D$51:$D$64,MATCH('Cash Flows'!O$6,'Loans to Cash Flows Wkst'!$C$51:$C$64,0))+(INDEX(ProposedLoansWkst!$D$50:$D$63,MATCH('Cash Flows'!O$6,ProposedLoansWkst!$C$50:$C$63,0)))</f>
        <v>0</v>
      </c>
      <c r="P193" s="507">
        <f>INDEX('Loans to Cash Flows Wkst'!$D$51:$D$64,MATCH('Cash Flows'!P$6,'Loans to Cash Flows Wkst'!$C$51:$C$64,0))+(INDEX(ProposedLoansWkst!$D$50:$D$63,MATCH('Cash Flows'!P$6,ProposedLoansWkst!$C$50:$C$63,0)))</f>
        <v>0</v>
      </c>
      <c r="Q193" s="508">
        <f>INDEX('Loans to Cash Flows Wkst'!$D$51:$D$64,MATCH('Cash Flows'!Q$6,'Loans to Cash Flows Wkst'!$C$51:$C$64,0))+(INDEX(ProposedLoansWkst!$D$50:$D$63,MATCH('Cash Flows'!Q$6,ProposedLoansWkst!$C$50:$C$63,0)))</f>
        <v>0</v>
      </c>
    </row>
    <row r="194" spans="2:17" x14ac:dyDescent="0.2">
      <c r="B194" s="254" t="s">
        <v>175</v>
      </c>
      <c r="C194" s="46"/>
      <c r="D194" s="400">
        <v>0</v>
      </c>
      <c r="E194" s="533">
        <f t="shared" si="30"/>
        <v>0</v>
      </c>
      <c r="F194" s="506">
        <f>INDEX('Loans to Cash Flows Wkst'!$D$34:$D$47,MATCH('Cash Flows'!F$6,'Loans to Cash Flows Wkst'!$C$34:$C$47,0))+INDEX(ProposedLoansWkst!$D$34:$D$47,MATCH('Cash Flows'!F$6,ProposedLoansWkst!$C$34:$C$47,0))</f>
        <v>0</v>
      </c>
      <c r="G194" s="507">
        <f>INDEX('Loans to Cash Flows Wkst'!$D$34:$D$47,MATCH('Cash Flows'!G$6,'Loans to Cash Flows Wkst'!$C$34:$C$47,0))+INDEX(ProposedLoansWkst!$D$34:$D$47,MATCH('Cash Flows'!G$6,ProposedLoansWkst!$C$34:$C$47,0))</f>
        <v>0</v>
      </c>
      <c r="H194" s="507">
        <f>INDEX('Loans to Cash Flows Wkst'!$D$34:$D$47,MATCH('Cash Flows'!H$6,'Loans to Cash Flows Wkst'!$C$34:$C$47,0))+INDEX(ProposedLoansWkst!$D$34:$D$47,MATCH('Cash Flows'!H$6,ProposedLoansWkst!$C$34:$C$47,0))</f>
        <v>0</v>
      </c>
      <c r="I194" s="507">
        <f>INDEX('Loans to Cash Flows Wkst'!$D$34:$D$47,MATCH('Cash Flows'!I$6,'Loans to Cash Flows Wkst'!$C$34:$C$47,0))+INDEX(ProposedLoansWkst!$D$34:$D$47,MATCH('Cash Flows'!I$6,ProposedLoansWkst!$C$34:$C$47,0))</f>
        <v>0</v>
      </c>
      <c r="J194" s="507">
        <f>INDEX('Loans to Cash Flows Wkst'!$D$34:$D$47,MATCH('Cash Flows'!J$6,'Loans to Cash Flows Wkst'!$C$34:$C$47,0))+INDEX(ProposedLoansWkst!$D$34:$D$47,MATCH('Cash Flows'!J$6,ProposedLoansWkst!$C$34:$C$47,0))</f>
        <v>0</v>
      </c>
      <c r="K194" s="507">
        <f>INDEX('Loans to Cash Flows Wkst'!$D$34:$D$47,MATCH('Cash Flows'!K$6,'Loans to Cash Flows Wkst'!$C$34:$C$47,0))+INDEX(ProposedLoansWkst!$D$34:$D$47,MATCH('Cash Flows'!K$6,ProposedLoansWkst!$C$34:$C$47,0))</f>
        <v>0</v>
      </c>
      <c r="L194" s="507">
        <f>INDEX('Loans to Cash Flows Wkst'!$D$34:$D$47,MATCH('Cash Flows'!L$6,'Loans to Cash Flows Wkst'!$C$34:$C$47,0))+INDEX(ProposedLoansWkst!$D$34:$D$47,MATCH('Cash Flows'!L$6,ProposedLoansWkst!$C$34:$C$47,0))</f>
        <v>0</v>
      </c>
      <c r="M194" s="507">
        <f>INDEX('Loans to Cash Flows Wkst'!$D$34:$D$47,MATCH('Cash Flows'!M$6,'Loans to Cash Flows Wkst'!$C$34:$C$47,0))+INDEX(ProposedLoansWkst!$D$34:$D$47,MATCH('Cash Flows'!M$6,ProposedLoansWkst!$C$34:$C$47,0))</f>
        <v>0</v>
      </c>
      <c r="N194" s="507">
        <f>INDEX('Loans to Cash Flows Wkst'!$D$34:$D$47,MATCH('Cash Flows'!N$6,'Loans to Cash Flows Wkst'!$C$34:$C$47,0))+INDEX(ProposedLoansWkst!$D$34:$D$47,MATCH('Cash Flows'!N$6,ProposedLoansWkst!$C$34:$C$47,0))</f>
        <v>0</v>
      </c>
      <c r="O194" s="507">
        <f>INDEX('Loans to Cash Flows Wkst'!$D$34:$D$47,MATCH('Cash Flows'!O$6,'Loans to Cash Flows Wkst'!$C$34:$C$47,0))+INDEX(ProposedLoansWkst!$D$34:$D$47,MATCH('Cash Flows'!O$6,ProposedLoansWkst!$C$34:$C$47,0))</f>
        <v>0</v>
      </c>
      <c r="P194" s="507">
        <f>INDEX('Loans to Cash Flows Wkst'!$D$34:$D$47,MATCH('Cash Flows'!P$6,'Loans to Cash Flows Wkst'!$C$34:$C$47,0))+INDEX(ProposedLoansWkst!$D$34:$D$47,MATCH('Cash Flows'!P$6,ProposedLoansWkst!$C$34:$C$47,0))</f>
        <v>0</v>
      </c>
      <c r="Q194" s="508">
        <f>INDEX('Loans to Cash Flows Wkst'!$D$34:$D$47,MATCH('Cash Flows'!Q$6,'Loans to Cash Flows Wkst'!$C$34:$C$47,0))+INDEX(ProposedLoansWkst!$D$34:$D$47,MATCH('Cash Flows'!Q$6,ProposedLoansWkst!$C$34:$C$47,0))</f>
        <v>0</v>
      </c>
    </row>
    <row r="195" spans="2:17" x14ac:dyDescent="0.2">
      <c r="B195" s="254" t="s">
        <v>470</v>
      </c>
      <c r="C195" s="46"/>
      <c r="D195" s="400">
        <v>0</v>
      </c>
      <c r="E195" s="533">
        <f t="shared" si="30"/>
        <v>0</v>
      </c>
      <c r="F195" s="375"/>
      <c r="G195" s="386"/>
      <c r="H195" s="386"/>
      <c r="I195" s="386"/>
      <c r="J195" s="386"/>
      <c r="K195" s="386"/>
      <c r="L195" s="386"/>
      <c r="M195" s="386"/>
      <c r="N195" s="386"/>
      <c r="O195" s="386"/>
      <c r="P195" s="386"/>
      <c r="Q195" s="355"/>
    </row>
    <row r="196" spans="2:17" x14ac:dyDescent="0.2">
      <c r="B196" s="254" t="s">
        <v>471</v>
      </c>
      <c r="C196" s="46"/>
      <c r="D196" s="400">
        <v>0</v>
      </c>
      <c r="E196" s="533">
        <f t="shared" ref="E196" si="31">SUM(F196:Q196)</f>
        <v>0</v>
      </c>
      <c r="F196" s="375"/>
      <c r="G196" s="386"/>
      <c r="H196" s="386"/>
      <c r="I196" s="386"/>
      <c r="J196" s="386"/>
      <c r="K196" s="386"/>
      <c r="L196" s="386"/>
      <c r="M196" s="386"/>
      <c r="N196" s="386"/>
      <c r="O196" s="386"/>
      <c r="P196" s="386"/>
      <c r="Q196" s="355"/>
    </row>
    <row r="197" spans="2:17" x14ac:dyDescent="0.2">
      <c r="B197" s="760" t="s">
        <v>541</v>
      </c>
      <c r="C197" s="46"/>
      <c r="D197" s="400">
        <v>0</v>
      </c>
      <c r="E197" s="533">
        <f t="shared" si="30"/>
        <v>0</v>
      </c>
      <c r="F197" s="375"/>
      <c r="G197" s="386"/>
      <c r="H197" s="386"/>
      <c r="I197" s="386"/>
      <c r="J197" s="386"/>
      <c r="K197" s="386"/>
      <c r="L197" s="386"/>
      <c r="M197" s="386"/>
      <c r="N197" s="386"/>
      <c r="O197" s="386"/>
      <c r="P197" s="386"/>
      <c r="Q197" s="355"/>
    </row>
    <row r="198" spans="2:17" x14ac:dyDescent="0.2">
      <c r="B198" s="252" t="s">
        <v>3</v>
      </c>
      <c r="C198" s="46"/>
      <c r="D198" s="400">
        <v>0</v>
      </c>
      <c r="E198" s="533">
        <f t="shared" si="30"/>
        <v>0</v>
      </c>
      <c r="F198" s="372"/>
      <c r="G198" s="383"/>
      <c r="H198" s="383"/>
      <c r="I198" s="383"/>
      <c r="J198" s="383"/>
      <c r="K198" s="383"/>
      <c r="L198" s="383"/>
      <c r="M198" s="383"/>
      <c r="N198" s="383"/>
      <c r="O198" s="383"/>
      <c r="P198" s="383"/>
      <c r="Q198" s="350"/>
    </row>
    <row r="199" spans="2:17" x14ac:dyDescent="0.2">
      <c r="B199" s="252" t="s">
        <v>19</v>
      </c>
      <c r="C199" s="46"/>
      <c r="D199" s="400">
        <v>0</v>
      </c>
      <c r="E199" s="561">
        <f t="shared" si="30"/>
        <v>0</v>
      </c>
      <c r="F199" s="375"/>
      <c r="G199" s="386"/>
      <c r="H199" s="386"/>
      <c r="I199" s="386"/>
      <c r="J199" s="386"/>
      <c r="K199" s="386"/>
      <c r="L199" s="386"/>
      <c r="M199" s="386"/>
      <c r="N199" s="386"/>
      <c r="O199" s="386"/>
      <c r="P199" s="386"/>
      <c r="Q199" s="355"/>
    </row>
    <row r="200" spans="2:17" x14ac:dyDescent="0.2">
      <c r="B200" s="255" t="s">
        <v>143</v>
      </c>
      <c r="C200" s="164"/>
      <c r="D200" s="421">
        <f>SUM(D173:D199)</f>
        <v>0</v>
      </c>
      <c r="E200" s="552">
        <f t="shared" si="30"/>
        <v>0</v>
      </c>
      <c r="F200" s="373">
        <f t="shared" ref="F200:Q200" si="32">SUM(F173:F199)</f>
        <v>0</v>
      </c>
      <c r="G200" s="384">
        <f t="shared" si="32"/>
        <v>0</v>
      </c>
      <c r="H200" s="384">
        <f t="shared" si="32"/>
        <v>0</v>
      </c>
      <c r="I200" s="384">
        <f t="shared" si="32"/>
        <v>0</v>
      </c>
      <c r="J200" s="384">
        <f t="shared" si="32"/>
        <v>0</v>
      </c>
      <c r="K200" s="384">
        <f t="shared" si="32"/>
        <v>0</v>
      </c>
      <c r="L200" s="384">
        <f t="shared" si="32"/>
        <v>0</v>
      </c>
      <c r="M200" s="384">
        <f t="shared" si="32"/>
        <v>0</v>
      </c>
      <c r="N200" s="384">
        <f t="shared" si="32"/>
        <v>0</v>
      </c>
      <c r="O200" s="384">
        <f t="shared" si="32"/>
        <v>0</v>
      </c>
      <c r="P200" s="384">
        <f t="shared" si="32"/>
        <v>0</v>
      </c>
      <c r="Q200" s="351">
        <f t="shared" si="32"/>
        <v>0</v>
      </c>
    </row>
    <row r="201" spans="2:17" ht="1.5" customHeight="1" x14ac:dyDescent="0.2">
      <c r="B201" s="243"/>
      <c r="D201" s="423"/>
      <c r="E201" s="550"/>
      <c r="F201" s="374"/>
      <c r="G201" s="385"/>
      <c r="H201" s="393"/>
      <c r="I201" s="393"/>
      <c r="J201" s="393"/>
      <c r="K201" s="393"/>
      <c r="L201" s="393"/>
      <c r="M201" s="393"/>
      <c r="N201" s="393"/>
      <c r="O201" s="393"/>
      <c r="P201" s="393"/>
      <c r="Q201" s="354"/>
    </row>
    <row r="202" spans="2:17" ht="1.5" customHeight="1" x14ac:dyDescent="0.2">
      <c r="B202" s="256"/>
      <c r="C202" s="10"/>
      <c r="D202" s="424"/>
      <c r="E202" s="547"/>
      <c r="F202" s="374"/>
      <c r="G202" s="385"/>
      <c r="H202" s="385"/>
      <c r="I202" s="385"/>
      <c r="J202" s="385"/>
      <c r="K202" s="385"/>
      <c r="L202" s="385"/>
      <c r="M202" s="385"/>
      <c r="N202" s="385"/>
      <c r="O202" s="385"/>
      <c r="P202" s="385"/>
      <c r="Q202" s="356"/>
    </row>
    <row r="203" spans="2:17" s="13" customFormat="1" x14ac:dyDescent="0.2">
      <c r="B203" s="266" t="s">
        <v>123</v>
      </c>
      <c r="C203" s="177"/>
      <c r="D203" s="425">
        <f t="shared" ref="D203:Q203" si="33">IF(ProjPersonal="Just Business Income and Expenses",0,D170-D200)</f>
        <v>0</v>
      </c>
      <c r="E203" s="562">
        <f t="shared" si="33"/>
        <v>0</v>
      </c>
      <c r="F203" s="429">
        <f t="shared" si="33"/>
        <v>0</v>
      </c>
      <c r="G203" s="432">
        <f t="shared" si="33"/>
        <v>0</v>
      </c>
      <c r="H203" s="432">
        <f t="shared" si="33"/>
        <v>0</v>
      </c>
      <c r="I203" s="432">
        <f t="shared" si="33"/>
        <v>0</v>
      </c>
      <c r="J203" s="432">
        <f t="shared" si="33"/>
        <v>0</v>
      </c>
      <c r="K203" s="432">
        <f t="shared" si="33"/>
        <v>0</v>
      </c>
      <c r="L203" s="432">
        <f t="shared" si="33"/>
        <v>0</v>
      </c>
      <c r="M203" s="432">
        <f t="shared" si="33"/>
        <v>0</v>
      </c>
      <c r="N203" s="432">
        <f t="shared" si="33"/>
        <v>0</v>
      </c>
      <c r="O203" s="432">
        <f t="shared" si="33"/>
        <v>0</v>
      </c>
      <c r="P203" s="432">
        <f t="shared" si="33"/>
        <v>0</v>
      </c>
      <c r="Q203" s="365">
        <f t="shared" si="33"/>
        <v>0</v>
      </c>
    </row>
    <row r="204" spans="2:17" ht="1.5" customHeight="1" x14ac:dyDescent="0.2">
      <c r="B204" s="258"/>
      <c r="C204" s="13"/>
      <c r="D204" s="405"/>
      <c r="E204" s="550"/>
      <c r="F204" s="374"/>
      <c r="G204" s="385"/>
      <c r="H204" s="393"/>
      <c r="I204" s="393"/>
      <c r="J204" s="393"/>
      <c r="K204" s="393"/>
      <c r="L204" s="393"/>
      <c r="M204" s="393"/>
      <c r="N204" s="393"/>
      <c r="O204" s="393"/>
      <c r="P204" s="393"/>
      <c r="Q204" s="354"/>
    </row>
    <row r="205" spans="2:17" ht="13.5" thickBot="1" x14ac:dyDescent="0.25">
      <c r="B205" s="257" t="s">
        <v>124</v>
      </c>
      <c r="C205" s="165"/>
      <c r="D205" s="426"/>
      <c r="E205" s="563"/>
      <c r="F205" s="376">
        <f>F203</f>
        <v>0</v>
      </c>
      <c r="G205" s="387">
        <f t="shared" ref="G205:Q205" si="34">F205+G203</f>
        <v>0</v>
      </c>
      <c r="H205" s="387">
        <f t="shared" si="34"/>
        <v>0</v>
      </c>
      <c r="I205" s="387">
        <f t="shared" si="34"/>
        <v>0</v>
      </c>
      <c r="J205" s="387">
        <f t="shared" si="34"/>
        <v>0</v>
      </c>
      <c r="K205" s="387">
        <f t="shared" si="34"/>
        <v>0</v>
      </c>
      <c r="L205" s="387">
        <f t="shared" si="34"/>
        <v>0</v>
      </c>
      <c r="M205" s="387">
        <f t="shared" si="34"/>
        <v>0</v>
      </c>
      <c r="N205" s="387">
        <f t="shared" si="34"/>
        <v>0</v>
      </c>
      <c r="O205" s="387">
        <f t="shared" si="34"/>
        <v>0</v>
      </c>
      <c r="P205" s="387">
        <f t="shared" si="34"/>
        <v>0</v>
      </c>
      <c r="Q205" s="357">
        <f t="shared" si="34"/>
        <v>0</v>
      </c>
    </row>
    <row r="206" spans="2:17" ht="13.5" thickTop="1" x14ac:dyDescent="0.2">
      <c r="B206" s="493"/>
      <c r="C206" s="494"/>
      <c r="D206" s="565"/>
      <c r="E206" s="550"/>
      <c r="F206" s="495"/>
      <c r="G206" s="496"/>
      <c r="H206" s="496"/>
      <c r="I206" s="496"/>
      <c r="J206" s="496"/>
      <c r="K206" s="496"/>
      <c r="L206" s="496"/>
      <c r="M206" s="496"/>
      <c r="N206" s="496"/>
      <c r="O206" s="496"/>
      <c r="P206" s="496"/>
      <c r="Q206" s="497"/>
    </row>
    <row r="207" spans="2:17" ht="5.25" customHeight="1" x14ac:dyDescent="0.2">
      <c r="B207" s="243"/>
      <c r="D207" s="397"/>
      <c r="E207" s="564"/>
      <c r="F207" s="430"/>
      <c r="G207" s="433"/>
      <c r="H207" s="436"/>
      <c r="I207" s="436"/>
      <c r="J207" s="436"/>
      <c r="K207" s="436"/>
      <c r="L207" s="436"/>
      <c r="M207" s="436"/>
      <c r="N207" s="436"/>
      <c r="O207" s="436"/>
      <c r="P207" s="436"/>
      <c r="Q207" s="366"/>
    </row>
    <row r="208" spans="2:17" x14ac:dyDescent="0.2">
      <c r="B208" s="262" t="s">
        <v>130</v>
      </c>
      <c r="C208" s="176"/>
      <c r="D208" s="427">
        <f>D77+IF(HowSell="Direct to Processor",0,D146)+IF(ProjPersonal="Just Business Income and Expenses",0,'Cash Flows'!D203)</f>
        <v>0</v>
      </c>
      <c r="E208" s="636">
        <f>E77+IF(HowSell="Direct to Processor",0,E146)+IF(ProjPersonal="Just Business Income and Expenses",0,'Cash Flows'!E203)</f>
        <v>0</v>
      </c>
      <c r="F208" s="637">
        <f>F77+IF(HowSell="Direct to Processor",0,F146)+IF(ProjPersonal="Just Business Income and Expenses",0,'Cash Flows'!F203)</f>
        <v>0</v>
      </c>
      <c r="G208" s="434">
        <f>G77+IF(HowSell="Direct to Processor",0,G146)+IF(ProjPersonal="Just Business Income and Expenses",0,'Cash Flows'!G203)</f>
        <v>0</v>
      </c>
      <c r="H208" s="434">
        <f>H77+IF(HowSell="Direct to Processor",0,H146)+IF(ProjPersonal="Just Business Income and Expenses",0,'Cash Flows'!H203)</f>
        <v>0</v>
      </c>
      <c r="I208" s="434">
        <f>I77+IF(HowSell="Direct to Processor",0,I146)+IF(ProjPersonal="Just Business Income and Expenses",0,'Cash Flows'!I203)</f>
        <v>0</v>
      </c>
      <c r="J208" s="434">
        <f>J77+IF(HowSell="Direct to Processor",0,J146)+IF(ProjPersonal="Just Business Income and Expenses",0,'Cash Flows'!J203)</f>
        <v>0</v>
      </c>
      <c r="K208" s="434">
        <f>K77+IF(HowSell="Direct to Processor",0,K146)+IF(ProjPersonal="Just Business Income and Expenses",0,'Cash Flows'!K203)</f>
        <v>0</v>
      </c>
      <c r="L208" s="434">
        <f>L77+IF(HowSell="Direct to Processor",0,L146)+IF(ProjPersonal="Just Business Income and Expenses",0,'Cash Flows'!L203)</f>
        <v>0</v>
      </c>
      <c r="M208" s="434">
        <f>M77+IF(HowSell="Direct to Processor",0,M146)+IF(ProjPersonal="Just Business Income and Expenses",0,'Cash Flows'!M203)</f>
        <v>0</v>
      </c>
      <c r="N208" s="434">
        <f>N77+IF(HowSell="Direct to Processor",0,N146)+IF(ProjPersonal="Just Business Income and Expenses",0,'Cash Flows'!N203)</f>
        <v>0</v>
      </c>
      <c r="O208" s="434">
        <f>O77+IF(HowSell="Direct to Processor",0,O146)+IF(ProjPersonal="Just Business Income and Expenses",0,'Cash Flows'!O203)</f>
        <v>0</v>
      </c>
      <c r="P208" s="434">
        <f>P77+IF(HowSell="Direct to Processor",0,P146)+IF(ProjPersonal="Just Business Income and Expenses",0,'Cash Flows'!P203)</f>
        <v>0</v>
      </c>
      <c r="Q208" s="367">
        <f>Q77+IF(HowSell="Direct to Processor",0,Q146)+IF(ProjPersonal="Just Business Income and Expenses",0,'Cash Flows'!Q203)</f>
        <v>0</v>
      </c>
    </row>
    <row r="209" spans="2:17" ht="5.0999999999999996" customHeight="1" x14ac:dyDescent="0.2">
      <c r="B209" s="243"/>
      <c r="D209" s="397"/>
      <c r="E209" s="564"/>
      <c r="F209" s="430"/>
      <c r="G209" s="433"/>
      <c r="H209" s="436"/>
      <c r="I209" s="436"/>
      <c r="J209" s="436"/>
      <c r="K209" s="436"/>
      <c r="L209" s="436"/>
      <c r="M209" s="436"/>
      <c r="N209" s="436"/>
      <c r="O209" s="436"/>
      <c r="P209" s="436"/>
      <c r="Q209" s="366"/>
    </row>
    <row r="210" spans="2:17" ht="13.5" thickBot="1" x14ac:dyDescent="0.25">
      <c r="B210" s="267" t="s">
        <v>129</v>
      </c>
      <c r="C210" s="268"/>
      <c r="D210" s="413"/>
      <c r="E210" s="557"/>
      <c r="F210" s="647">
        <f>F8+F77+F146+IF(ProjPersonal="Just Business Income and Expenses",0,'Cash Flows'!F205)</f>
        <v>0</v>
      </c>
      <c r="G210" s="649">
        <f>G8+G77+G146+IF(ProjPersonal="Just Business Income and Expenses",0,'Cash Flows'!G203)</f>
        <v>0</v>
      </c>
      <c r="H210" s="646">
        <f>H8+H77+H146+IF(ProjPersonal="Just Business Income and Expenses",0,'Cash Flows'!H203)</f>
        <v>0</v>
      </c>
      <c r="I210" s="646">
        <f>I8+I77+I146+IF(ProjPersonal="Just Business Income and Expenses",0,'Cash Flows'!I203)</f>
        <v>0</v>
      </c>
      <c r="J210" s="646">
        <f>J8+J77+J146+IF(ProjPersonal="Just Business Income and Expenses",0,'Cash Flows'!J203)</f>
        <v>0</v>
      </c>
      <c r="K210" s="646">
        <f>K8+K77+K146+IF(ProjPersonal="Just Business Income and Expenses",0,'Cash Flows'!K203)</f>
        <v>0</v>
      </c>
      <c r="L210" s="646">
        <f>L8+L77+L146+IF(ProjPersonal="Just Business Income and Expenses",0,'Cash Flows'!L203)</f>
        <v>0</v>
      </c>
      <c r="M210" s="646">
        <f>M8+M77+M146+IF(ProjPersonal="Just Business Income and Expenses",0,'Cash Flows'!M203)</f>
        <v>0</v>
      </c>
      <c r="N210" s="646">
        <f>N8+N77+N146+IF(ProjPersonal="Just Business Income and Expenses",0,'Cash Flows'!N203)</f>
        <v>0</v>
      </c>
      <c r="O210" s="646">
        <f>O8+O77+O146+IF(ProjPersonal="Just Business Income and Expenses",0,'Cash Flows'!O203)</f>
        <v>0</v>
      </c>
      <c r="P210" s="646">
        <f>P8+P77+P146+IF(ProjPersonal="Just Business Income and Expenses",0,'Cash Flows'!P203)</f>
        <v>0</v>
      </c>
      <c r="Q210" s="648">
        <f>Q8+Q77+Q146+IF(ProjPersonal="Just Business Income and Expenses",0,'Cash Flows'!Q203)</f>
        <v>0</v>
      </c>
    </row>
    <row r="212" spans="2:17" ht="13.5" thickBot="1" x14ac:dyDescent="0.25"/>
    <row r="213" spans="2:17" ht="15.75" customHeight="1" x14ac:dyDescent="0.2">
      <c r="B213" s="1037" t="s">
        <v>225</v>
      </c>
      <c r="C213" s="1038"/>
      <c r="D213" s="751">
        <f>Year</f>
        <v>2016</v>
      </c>
      <c r="E213" s="751">
        <f>Year+1</f>
        <v>2017</v>
      </c>
      <c r="F213" s="736" t="s">
        <v>5</v>
      </c>
      <c r="G213" s="737" t="s">
        <v>6</v>
      </c>
      <c r="H213" s="738" t="s">
        <v>7</v>
      </c>
      <c r="I213" s="738" t="s">
        <v>8</v>
      </c>
      <c r="J213" s="738" t="s">
        <v>4</v>
      </c>
      <c r="K213" s="738" t="s">
        <v>9</v>
      </c>
      <c r="L213" s="738" t="s">
        <v>10</v>
      </c>
      <c r="M213" s="738" t="s">
        <v>11</v>
      </c>
      <c r="N213" s="738" t="s">
        <v>12</v>
      </c>
      <c r="O213" s="738" t="s">
        <v>13</v>
      </c>
      <c r="P213" s="738" t="s">
        <v>14</v>
      </c>
      <c r="Q213" s="739" t="s">
        <v>15</v>
      </c>
    </row>
    <row r="214" spans="2:17" x14ac:dyDescent="0.2">
      <c r="B214" s="1043" t="s">
        <v>241</v>
      </c>
      <c r="C214" s="1044"/>
      <c r="D214" s="566">
        <f t="shared" ref="D214:Q214" si="35">D77</f>
        <v>0</v>
      </c>
      <c r="E214" s="566">
        <f t="shared" si="35"/>
        <v>0</v>
      </c>
      <c r="F214" s="566">
        <f t="shared" si="35"/>
        <v>0</v>
      </c>
      <c r="G214" s="566">
        <f t="shared" si="35"/>
        <v>0</v>
      </c>
      <c r="H214" s="566">
        <f t="shared" si="35"/>
        <v>0</v>
      </c>
      <c r="I214" s="566">
        <f t="shared" si="35"/>
        <v>0</v>
      </c>
      <c r="J214" s="566">
        <f t="shared" si="35"/>
        <v>0</v>
      </c>
      <c r="K214" s="566">
        <f t="shared" si="35"/>
        <v>0</v>
      </c>
      <c r="L214" s="566">
        <f t="shared" si="35"/>
        <v>0</v>
      </c>
      <c r="M214" s="566">
        <f t="shared" si="35"/>
        <v>0</v>
      </c>
      <c r="N214" s="566">
        <f t="shared" si="35"/>
        <v>0</v>
      </c>
      <c r="O214" s="566">
        <f t="shared" si="35"/>
        <v>0</v>
      </c>
      <c r="P214" s="566">
        <f t="shared" si="35"/>
        <v>0</v>
      </c>
      <c r="Q214" s="741">
        <f t="shared" si="35"/>
        <v>0</v>
      </c>
    </row>
    <row r="215" spans="2:17" x14ac:dyDescent="0.2">
      <c r="B215" s="1045" t="s">
        <v>227</v>
      </c>
      <c r="C215" s="1046"/>
      <c r="D215" s="566">
        <f>D146</f>
        <v>0</v>
      </c>
      <c r="E215" s="566">
        <f t="shared" ref="E215:Q215" si="36">E146</f>
        <v>0</v>
      </c>
      <c r="F215" s="566">
        <f t="shared" si="36"/>
        <v>0</v>
      </c>
      <c r="G215" s="566">
        <f t="shared" si="36"/>
        <v>0</v>
      </c>
      <c r="H215" s="566">
        <f t="shared" si="36"/>
        <v>0</v>
      </c>
      <c r="I215" s="566">
        <f t="shared" si="36"/>
        <v>0</v>
      </c>
      <c r="J215" s="566">
        <f t="shared" si="36"/>
        <v>0</v>
      </c>
      <c r="K215" s="566">
        <f t="shared" si="36"/>
        <v>0</v>
      </c>
      <c r="L215" s="566">
        <f t="shared" si="36"/>
        <v>0</v>
      </c>
      <c r="M215" s="566">
        <f t="shared" si="36"/>
        <v>0</v>
      </c>
      <c r="N215" s="566">
        <f t="shared" si="36"/>
        <v>0</v>
      </c>
      <c r="O215" s="566">
        <f t="shared" si="36"/>
        <v>0</v>
      </c>
      <c r="P215" s="566">
        <f t="shared" si="36"/>
        <v>0</v>
      </c>
      <c r="Q215" s="741">
        <f t="shared" si="36"/>
        <v>0</v>
      </c>
    </row>
    <row r="216" spans="2:17" x14ac:dyDescent="0.2">
      <c r="B216" s="1043" t="s">
        <v>228</v>
      </c>
      <c r="C216" s="1044"/>
      <c r="D216" s="566">
        <f>D203</f>
        <v>0</v>
      </c>
      <c r="E216" s="566">
        <f t="shared" ref="E216:Q216" si="37">E203</f>
        <v>0</v>
      </c>
      <c r="F216" s="566">
        <f t="shared" si="37"/>
        <v>0</v>
      </c>
      <c r="G216" s="566">
        <f t="shared" si="37"/>
        <v>0</v>
      </c>
      <c r="H216" s="566">
        <f t="shared" si="37"/>
        <v>0</v>
      </c>
      <c r="I216" s="566">
        <f t="shared" si="37"/>
        <v>0</v>
      </c>
      <c r="J216" s="566">
        <f t="shared" si="37"/>
        <v>0</v>
      </c>
      <c r="K216" s="566">
        <f t="shared" si="37"/>
        <v>0</v>
      </c>
      <c r="L216" s="566">
        <f t="shared" si="37"/>
        <v>0</v>
      </c>
      <c r="M216" s="566">
        <f t="shared" si="37"/>
        <v>0</v>
      </c>
      <c r="N216" s="566">
        <f t="shared" si="37"/>
        <v>0</v>
      </c>
      <c r="O216" s="566">
        <f t="shared" si="37"/>
        <v>0</v>
      </c>
      <c r="P216" s="566">
        <f t="shared" si="37"/>
        <v>0</v>
      </c>
      <c r="Q216" s="741">
        <f t="shared" si="37"/>
        <v>0</v>
      </c>
    </row>
    <row r="217" spans="2:17" ht="2.1" customHeight="1" x14ac:dyDescent="0.2">
      <c r="B217" s="1041"/>
      <c r="C217" s="1042"/>
      <c r="D217" s="567"/>
      <c r="E217" s="567"/>
      <c r="F217" s="568"/>
      <c r="G217" s="568"/>
      <c r="H217" s="569"/>
      <c r="I217" s="569"/>
      <c r="J217" s="569"/>
      <c r="K217" s="569"/>
      <c r="L217" s="569"/>
      <c r="M217" s="569"/>
      <c r="N217" s="569"/>
      <c r="O217" s="569"/>
      <c r="P217" s="569"/>
      <c r="Q217" s="752"/>
    </row>
    <row r="218" spans="2:17" ht="13.5" thickBot="1" x14ac:dyDescent="0.25">
      <c r="B218" s="1039" t="s">
        <v>130</v>
      </c>
      <c r="C218" s="1040"/>
      <c r="D218" s="743">
        <f>D208</f>
        <v>0</v>
      </c>
      <c r="E218" s="743">
        <f t="shared" ref="E218:Q218" si="38">E208</f>
        <v>0</v>
      </c>
      <c r="F218" s="743">
        <f t="shared" si="38"/>
        <v>0</v>
      </c>
      <c r="G218" s="743">
        <f t="shared" si="38"/>
        <v>0</v>
      </c>
      <c r="H218" s="743">
        <f t="shared" si="38"/>
        <v>0</v>
      </c>
      <c r="I218" s="743">
        <f t="shared" si="38"/>
        <v>0</v>
      </c>
      <c r="J218" s="743">
        <f t="shared" si="38"/>
        <v>0</v>
      </c>
      <c r="K218" s="743">
        <f t="shared" si="38"/>
        <v>0</v>
      </c>
      <c r="L218" s="743">
        <f t="shared" si="38"/>
        <v>0</v>
      </c>
      <c r="M218" s="743">
        <f t="shared" si="38"/>
        <v>0</v>
      </c>
      <c r="N218" s="743">
        <f t="shared" si="38"/>
        <v>0</v>
      </c>
      <c r="O218" s="743">
        <f t="shared" si="38"/>
        <v>0</v>
      </c>
      <c r="P218" s="743">
        <f t="shared" si="38"/>
        <v>0</v>
      </c>
      <c r="Q218" s="744">
        <f t="shared" si="38"/>
        <v>0</v>
      </c>
    </row>
    <row r="222" spans="2:17" x14ac:dyDescent="0.2">
      <c r="F222" s="3"/>
    </row>
    <row r="223" spans="2:17" ht="13.5" thickBot="1" x14ac:dyDescent="0.25"/>
    <row r="224" spans="2:17" x14ac:dyDescent="0.2">
      <c r="B224" s="1056" t="s">
        <v>226</v>
      </c>
      <c r="C224" s="1057"/>
      <c r="D224" s="1057"/>
      <c r="E224" s="1058"/>
      <c r="F224" s="745" t="s">
        <v>5</v>
      </c>
      <c r="G224" s="737" t="s">
        <v>6</v>
      </c>
      <c r="H224" s="738" t="s">
        <v>7</v>
      </c>
      <c r="I224" s="738" t="s">
        <v>8</v>
      </c>
      <c r="J224" s="738" t="s">
        <v>4</v>
      </c>
      <c r="K224" s="738" t="s">
        <v>9</v>
      </c>
      <c r="L224" s="738" t="s">
        <v>10</v>
      </c>
      <c r="M224" s="738" t="s">
        <v>11</v>
      </c>
      <c r="N224" s="738" t="s">
        <v>12</v>
      </c>
      <c r="O224" s="738" t="s">
        <v>13</v>
      </c>
      <c r="P224" s="738" t="s">
        <v>14</v>
      </c>
      <c r="Q224" s="739" t="s">
        <v>15</v>
      </c>
    </row>
    <row r="225" spans="2:17" x14ac:dyDescent="0.2">
      <c r="B225" s="1061" t="s">
        <v>224</v>
      </c>
      <c r="C225" s="1062"/>
      <c r="D225" s="1062"/>
      <c r="E225" s="1063"/>
      <c r="F225" s="746">
        <f>'Final Balance Sheet'!C8</f>
        <v>0</v>
      </c>
      <c r="G225" s="644">
        <f>CumulativeCashJan</f>
        <v>0</v>
      </c>
      <c r="H225" s="645">
        <f>CumulativeCashFeb</f>
        <v>0</v>
      </c>
      <c r="I225" s="645">
        <f>CumulativeCashMar</f>
        <v>0</v>
      </c>
      <c r="J225" s="645">
        <f>CumulativeCashApr</f>
        <v>0</v>
      </c>
      <c r="K225" s="645">
        <f>CumulativeCashMay</f>
        <v>0</v>
      </c>
      <c r="L225" s="645">
        <f>CumulativeCashJune</f>
        <v>0</v>
      </c>
      <c r="M225" s="645">
        <f>CumulativeCashJuly</f>
        <v>0</v>
      </c>
      <c r="N225" s="645">
        <f>CumulativeCashAug</f>
        <v>0</v>
      </c>
      <c r="O225" s="645">
        <f>CumulativeCashSept</f>
        <v>0</v>
      </c>
      <c r="P225" s="645">
        <f>CumulativeCashOct</f>
        <v>0</v>
      </c>
      <c r="Q225" s="740">
        <f>CumulativeCashNov</f>
        <v>0</v>
      </c>
    </row>
    <row r="226" spans="2:17" x14ac:dyDescent="0.2">
      <c r="B226" s="1047" t="s">
        <v>241</v>
      </c>
      <c r="C226" s="1048"/>
      <c r="D226" s="1048"/>
      <c r="E226" s="1049"/>
      <c r="F226" s="747">
        <f t="shared" ref="F226:Q226" si="39">F77</f>
        <v>0</v>
      </c>
      <c r="G226" s="566">
        <f t="shared" si="39"/>
        <v>0</v>
      </c>
      <c r="H226" s="566">
        <f t="shared" si="39"/>
        <v>0</v>
      </c>
      <c r="I226" s="566">
        <f t="shared" si="39"/>
        <v>0</v>
      </c>
      <c r="J226" s="566">
        <f t="shared" si="39"/>
        <v>0</v>
      </c>
      <c r="K226" s="566">
        <f t="shared" si="39"/>
        <v>0</v>
      </c>
      <c r="L226" s="566">
        <f t="shared" si="39"/>
        <v>0</v>
      </c>
      <c r="M226" s="566">
        <f t="shared" si="39"/>
        <v>0</v>
      </c>
      <c r="N226" s="566">
        <f t="shared" si="39"/>
        <v>0</v>
      </c>
      <c r="O226" s="566">
        <f t="shared" si="39"/>
        <v>0</v>
      </c>
      <c r="P226" s="566">
        <f t="shared" si="39"/>
        <v>0</v>
      </c>
      <c r="Q226" s="741">
        <f t="shared" si="39"/>
        <v>0</v>
      </c>
    </row>
    <row r="227" spans="2:17" x14ac:dyDescent="0.2">
      <c r="B227" s="1047" t="s">
        <v>227</v>
      </c>
      <c r="C227" s="1048"/>
      <c r="D227" s="1048"/>
      <c r="E227" s="1049"/>
      <c r="F227" s="747">
        <f>F146</f>
        <v>0</v>
      </c>
      <c r="G227" s="566">
        <f t="shared" ref="G227:Q227" si="40">G146</f>
        <v>0</v>
      </c>
      <c r="H227" s="566">
        <f t="shared" si="40"/>
        <v>0</v>
      </c>
      <c r="I227" s="566">
        <f t="shared" si="40"/>
        <v>0</v>
      </c>
      <c r="J227" s="566">
        <f t="shared" si="40"/>
        <v>0</v>
      </c>
      <c r="K227" s="566">
        <f t="shared" si="40"/>
        <v>0</v>
      </c>
      <c r="L227" s="566">
        <f t="shared" si="40"/>
        <v>0</v>
      </c>
      <c r="M227" s="566">
        <f t="shared" si="40"/>
        <v>0</v>
      </c>
      <c r="N227" s="566">
        <f t="shared" si="40"/>
        <v>0</v>
      </c>
      <c r="O227" s="566">
        <f t="shared" si="40"/>
        <v>0</v>
      </c>
      <c r="P227" s="566">
        <f t="shared" si="40"/>
        <v>0</v>
      </c>
      <c r="Q227" s="741">
        <f t="shared" si="40"/>
        <v>0</v>
      </c>
    </row>
    <row r="228" spans="2:17" x14ac:dyDescent="0.2">
      <c r="B228" s="1047" t="s">
        <v>228</v>
      </c>
      <c r="C228" s="1048"/>
      <c r="D228" s="1048"/>
      <c r="E228" s="1049"/>
      <c r="F228" s="747">
        <f>F203</f>
        <v>0</v>
      </c>
      <c r="G228" s="566">
        <f t="shared" ref="G228:Q228" si="41">G203</f>
        <v>0</v>
      </c>
      <c r="H228" s="566">
        <f t="shared" si="41"/>
        <v>0</v>
      </c>
      <c r="I228" s="566">
        <f t="shared" si="41"/>
        <v>0</v>
      </c>
      <c r="J228" s="566">
        <f t="shared" si="41"/>
        <v>0</v>
      </c>
      <c r="K228" s="566">
        <f t="shared" si="41"/>
        <v>0</v>
      </c>
      <c r="L228" s="566">
        <f t="shared" si="41"/>
        <v>0</v>
      </c>
      <c r="M228" s="566">
        <f t="shared" si="41"/>
        <v>0</v>
      </c>
      <c r="N228" s="566">
        <f t="shared" si="41"/>
        <v>0</v>
      </c>
      <c r="O228" s="566">
        <f t="shared" si="41"/>
        <v>0</v>
      </c>
      <c r="P228" s="566">
        <f t="shared" si="41"/>
        <v>0</v>
      </c>
      <c r="Q228" s="741">
        <f t="shared" si="41"/>
        <v>0</v>
      </c>
    </row>
    <row r="229" spans="2:17" ht="2.1" customHeight="1" x14ac:dyDescent="0.2">
      <c r="B229" s="1059"/>
      <c r="C229" s="1060"/>
      <c r="D229" s="1060"/>
      <c r="E229" s="750"/>
      <c r="F229" s="748"/>
      <c r="G229" s="568"/>
      <c r="H229" s="568"/>
      <c r="I229" s="568"/>
      <c r="J229" s="568"/>
      <c r="K229" s="568"/>
      <c r="L229" s="568"/>
      <c r="M229" s="568"/>
      <c r="N229" s="568"/>
      <c r="O229" s="568"/>
      <c r="P229" s="568"/>
      <c r="Q229" s="742"/>
    </row>
    <row r="230" spans="2:17" ht="13.5" thickBot="1" x14ac:dyDescent="0.25">
      <c r="B230" s="1053" t="s">
        <v>129</v>
      </c>
      <c r="C230" s="1054"/>
      <c r="D230" s="1054"/>
      <c r="E230" s="1055"/>
      <c r="F230" s="749">
        <f>F210</f>
        <v>0</v>
      </c>
      <c r="G230" s="743">
        <f t="shared" ref="G230:Q230" si="42">G210</f>
        <v>0</v>
      </c>
      <c r="H230" s="743">
        <f t="shared" si="42"/>
        <v>0</v>
      </c>
      <c r="I230" s="743">
        <f t="shared" si="42"/>
        <v>0</v>
      </c>
      <c r="J230" s="743">
        <f t="shared" si="42"/>
        <v>0</v>
      </c>
      <c r="K230" s="743">
        <f t="shared" si="42"/>
        <v>0</v>
      </c>
      <c r="L230" s="743">
        <f t="shared" si="42"/>
        <v>0</v>
      </c>
      <c r="M230" s="743">
        <f t="shared" si="42"/>
        <v>0</v>
      </c>
      <c r="N230" s="743">
        <f t="shared" si="42"/>
        <v>0</v>
      </c>
      <c r="O230" s="743">
        <f t="shared" si="42"/>
        <v>0</v>
      </c>
      <c r="P230" s="743">
        <f t="shared" si="42"/>
        <v>0</v>
      </c>
      <c r="Q230" s="744">
        <f t="shared" si="42"/>
        <v>0</v>
      </c>
    </row>
  </sheetData>
  <sheetProtection algorithmName="SHA-512" hashValue="nbIsyk88i4+tc7jBWyjLcqn694MNkSnG9vvvzy6uPRHCg9cEIRwol8Vs6gEGOy3z2kR6Gum7zgnpUndm7Xibcw==" saltValue="j/miW3jS2cf5S9PgMBm4Cg==" spinCount="100000" sheet="1" objects="1" scenarios="1"/>
  <mergeCells count="18">
    <mergeCell ref="B227:E227"/>
    <mergeCell ref="B226:E226"/>
    <mergeCell ref="B99:B100"/>
    <mergeCell ref="B159:B161"/>
    <mergeCell ref="B230:E230"/>
    <mergeCell ref="B224:E224"/>
    <mergeCell ref="B229:D229"/>
    <mergeCell ref="B225:E225"/>
    <mergeCell ref="B228:E228"/>
    <mergeCell ref="B2:G3"/>
    <mergeCell ref="B4:G4"/>
    <mergeCell ref="E5:G5"/>
    <mergeCell ref="B213:C213"/>
    <mergeCell ref="B218:C218"/>
    <mergeCell ref="B217:C217"/>
    <mergeCell ref="B216:C216"/>
    <mergeCell ref="B215:C215"/>
    <mergeCell ref="B214:C214"/>
  </mergeCells>
  <phoneticPr fontId="11" type="noConversion"/>
  <conditionalFormatting sqref="B162:Q172 B200:Q206 C173:Q195 C197:Q199">
    <cfRule type="expression" dxfId="21" priority="21">
      <formula>ProjPersonal="Just Business Income and Expenses"</formula>
    </cfRule>
  </conditionalFormatting>
  <conditionalFormatting sqref="B173:B195 B197:B199">
    <cfRule type="expression" dxfId="20" priority="16">
      <formula>ProjPersonal="Just Business Income and Expenses"</formula>
    </cfRule>
  </conditionalFormatting>
  <conditionalFormatting sqref="B216:Q216">
    <cfRule type="expression" dxfId="19" priority="14">
      <formula>ProjPersonal="Just Business Income and Expenses"</formula>
    </cfRule>
  </conditionalFormatting>
  <conditionalFormatting sqref="B228 F228:R228">
    <cfRule type="expression" dxfId="18" priority="10">
      <formula>ProjPersonal="Just Business Income and Expenses"</formula>
    </cfRule>
  </conditionalFormatting>
  <conditionalFormatting sqref="C196:Q196">
    <cfRule type="expression" dxfId="17" priority="2">
      <formula>ProjPersonal="Just Business Income and Expenses"</formula>
    </cfRule>
  </conditionalFormatting>
  <conditionalFormatting sqref="B196">
    <cfRule type="expression" dxfId="16" priority="1">
      <formula>ProjPersonal="Just Business Income and Expenses"</formula>
    </cfRule>
  </conditionalFormatting>
  <dataValidations count="23">
    <dataValidation allowBlank="1" showInputMessage="1" showErrorMessage="1" prompt="Sales to processors" sqref="U104:XFD104 S164:XFD164 S10:XFD10 A10 C10"/>
    <dataValidation allowBlank="1" showInputMessage="1" showErrorMessage="1" prompt="Processed fish that you market directly to someone other than a processor" sqref="S11:XFD11 S165:XFD165 U105:XFD108 A11 C11"/>
    <dataValidation type="custom" allowBlank="1" showInputMessage="1" showErrorMessage="1" errorTitle="No Personal Details" error="You told us you only wanted to enter business income &amp; expenses._x000a__x000a_To enter personal expenses, click on the blue button to change your answer." sqref="F204:Q204 E171:Q172 D204:E206 E201:Q202 B228 D200:D202 D162:Q163 D170:D172 B216 B162:C206">
      <formula1>ProjPersonal&lt;&gt;"Just Business Income and Expenses"</formula1>
    </dataValidation>
    <dataValidation allowBlank="1" showInputMessage="1" showErrorMessage="1" errorTitle="No Personal Details" error="You told us you only wanted to enter business income &amp; expenses._x000a__x000a_To enter personal expenses, click on the blue button to change your answer." sqref="B210:E210 B230 B224"/>
    <dataValidation type="custom" allowBlank="1" showInputMessage="1" showErrorMessage="1" error="You told us that you only sold directly to processors.  Click the blue button next to &quot;Direct Marketing Income &amp; Costs&quot; to go back to make this change if you need this section." sqref="D124:D126 E125:Q126 E136:Q136 D102:Q103 D112:Q113 B140:B142 B157:D157 B156:Q156 B148:E148 B145:Q145 B147:Q147 B146:C146 C123:C138 C140:C144 B153:C153 B155:C155 B128:B138 D135:D138 D140 B215 B227 B102:C122 B123:B126 B152 B149:B150 C149:C152 D149:Q150 D152:Q152">
      <formula1>HowSell&lt;&gt;"Direct to Processor"</formula1>
    </dataValidation>
    <dataValidation type="custom" allowBlank="1" showInputMessage="1" showErrorMessage="1" error="You told us that you only sold directly to processors.  Click the blue button next to &quot;Direct Marketing Income &amp; Costs&quot; to go back to make this change if you need this section." prompt="To calculate gain, enter the cash sales and the balance sheet value in the additional information section." sqref="E155">
      <formula1>HowSell&lt;&gt;"Direct to Processor"</formula1>
    </dataValidation>
    <dataValidation type="custom" allowBlank="1" showInputMessage="1" error="You told us that you only sold directly to processors.  Click the blue button next to &quot;Direct Marketing Income &amp; Costs&quot; to go back to make this change if you need this section." sqref="F104:Q110 F114:Q123 D141:D144 D153 D127:D134 F153:Q153 F127:Q134 D104:D110 D114:D123">
      <formula1>HowSell&lt;&gt;"Direct to Processor"</formula1>
    </dataValidation>
    <dataValidation type="custom" allowBlank="1" showInputMessage="1" showErrorMessage="1" error="This is a calculated field.  Enter the sales and balance sheet values in the additional information section." prompt="To calculate gain, enter the cash sales and the balance sheet value in the additional information section." sqref="F155:Q155 D155">
      <formula1>HowSell&lt;&gt;"Direct to Processor"</formula1>
    </dataValidation>
    <dataValidation type="custom" allowBlank="1" showInputMessage="1" errorTitle="No Personal Details" error="You told us you only wanted to enter business income &amp; expenses._x000a__x000a_To enter personal expenses, click on the blue button to change your answer." sqref="D164:D169 F169:Q169 F198:Q199 F173:Q192 F164:Q166 D173:D199">
      <formula1>ProjPersonal&lt;&gt;"Just Business Income and Expenses"</formula1>
    </dataValidation>
    <dataValidation type="custom" allowBlank="1" showInputMessage="1" showErrorMessage="1" errorTitle="You only sell to processor" error="In general information, you marked that you only sell your catch directly to processors.  To change this, click the blue button next to &quot;Direct Marketing Income and Costs&quot;" sqref="B143:B144 B127">
      <formula1>HowSell&lt;&gt;"Direct to Processor"</formula1>
    </dataValidation>
    <dataValidation type="custom" allowBlank="1" showInputMessage="1" error="You told us that you only sold directly to processors.  Click the blue button next to &quot;Direct Marketing Income &amp; Costs&quot; to go back to make this change if you need this section." sqref="E25:E51 E72:E75 D93 E55:E65 D89:D91 F61:Q61 E83:E84 E86:E93 F89:Q93">
      <formula1>HowSell&lt;&gt;"Direct to Consumer"</formula1>
    </dataValidation>
    <dataValidation allowBlank="1" showInputMessage="1" error="You told us that you only sold directly to processors.  Click the blue button next to &quot;Direct Marketing Income &amp; Costs&quot; to go back to make this change if you need this section." prompt="Enter the amount that your crop inventories, prepaids and accounts receivables changed from last year's income statement." sqref="D92"/>
    <dataValidation allowBlank="1" showInputMessage="1" error="You told us that you only sold directly to processors.  Click the blue button next to &quot;Direct Marketing Income &amp; Costs&quot; to go back to make this change if you need this section." prompt="Enter the economic depreciation from last year. For equipment we suggest 10%. For vehicles we suggest 15%." sqref="D83 F83:Q83"/>
    <dataValidation allowBlank="1" showInputMessage="1" error="You told us that you only sold directly to processors.  Click the blue button next to &quot;Direct Marketing Income &amp; Costs&quot; to go back to make this change if you need this section." prompt="Enter the economic depreciation from last year. For buildings we suggest 5%." sqref="D85:Q85"/>
    <dataValidation type="custom" allowBlank="1" showInputMessage="1" error="You told us that you only sold directly to processors.  Click the blue button next to &quot;Direct Marketing Income &amp; Costs&quot; to go back to make this change if you need this section." prompt="These values will flow from the loans you entered for your balance sheet as well as any new loans you entered in the &quot;Proposed Loans&quot; section." sqref="F141:Q144">
      <formula1>HowSell&lt;&gt;"Direct to Processor"</formula1>
    </dataValidation>
    <dataValidation type="custom" allowBlank="1" showInputMessage="1" error="You told us that you only sold directly to processors.  Click the blue button next to &quot;Direct Marketing Income &amp; Costs&quot; to go back to make this change if you need this section." prompt="These values will flow from the loans you entered for your balance sheet as well as any new loans you entered in the &quot;Proposed Loans&quot; section." sqref="F72:Q75">
      <formula1>HowSell&lt;&gt;"Direct to Consumer"</formula1>
    </dataValidation>
    <dataValidation type="custom" allowBlank="1" showInputMessage="1" errorTitle="No Personal Details" error="You told us you only wanted to enter business income &amp; expenses._x000a__x000a_To enter personal expenses, click on the blue button to change your answer." prompt="These values will flow from the loans you entered for your balance sheet as well as any new loans you entered in the &quot;Proposed Loans&quot; section." sqref="F167:Q168 F193:Q197">
      <formula1>ProjPersonal&lt;&gt;"Just Business Income and Expenses"</formula1>
    </dataValidation>
    <dataValidation allowBlank="1" showInputMessage="1" error="You told us that you only sold directly to processors.  Click the blue button next to &quot;Direct Marketing Income &amp; Costs&quot; to go back to make this change if you need this section." sqref="F25:Q51 F55:Q60 F62:Q65 F86:Q88 D72:D75 D55:D65 D25:D51 F84:Q84 D86:D88 D84 D10:D21 F10:Q21"/>
    <dataValidation type="custom" allowBlank="1" showInputMessage="1" showErrorMessage="1" error="You told us that you only sold directly to processors.  Click the blue button next to &quot;Direct Marketing Income &amp; Costs&quot; to go back to make this change if you need this section." prompt="The Value of Labor &amp; Management is a non-cash cost that is used in determining Return on Assets, Return on Equity and other profitability measures. Think of it as &quot;How much would I charge if I were running this business for someone else?&quot;" sqref="B151 D151:Q151">
      <formula1>HowSell&lt;&gt;"Direct to Processor"</formula1>
    </dataValidation>
    <dataValidation allowBlank="1" showInputMessage="1" showErrorMessage="1" prompt="The Value of Labor &amp; Management is a non-cash cost that is used in determining Return on Assets, Return on Equity and other profitability measures. Think of it as &quot;How much would I charge if I were running this business for someone else?&quot;" sqref="B82:Q82"/>
    <dataValidation allowBlank="1" showInputMessage="1" showErrorMessage="1" prompt="Vegetable or fruit sales made to a processor" sqref="B11"/>
    <dataValidation allowBlank="1" showInputMessage="1" showErrorMessage="1" prompt="Crop sales to processor, cooperative, etc." sqref="B10"/>
    <dataValidation allowBlank="1" showInputMessage="1" showErrorMessage="1" prompt="Livestock product (milk, eggs, etc) sales made to processor, cooperative, etc." sqref="B13"/>
  </dataValidations>
  <printOptions horizontalCentered="1" verticalCentered="1"/>
  <pageMargins left="0.25" right="0.25" top="0.5" bottom="0.5" header="0.3" footer="0.3"/>
  <pageSetup pageOrder="overThenDown" orientation="landscape" horizontalDpi="1800" verticalDpi="1800" r:id="rId1"/>
  <headerFooter alignWithMargins="0"/>
  <rowBreaks count="3" manualBreakCount="3">
    <brk id="28" min="1" max="16" man="1"/>
    <brk id="69" min="1" max="16" man="1"/>
    <brk id="138" min="1" max="16" man="1"/>
  </rowBreaks>
  <colBreaks count="2" manualBreakCount="2">
    <brk id="9" max="1048575" man="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4737" r:id="rId4" name="Drop Down 1">
              <controlPr locked="0" defaultSize="0" print="0" autoLine="0" autoPict="0">
                <anchor moveWithCells="1">
                  <from>
                    <xdr:col>1</xdr:col>
                    <xdr:colOff>2895600</xdr:colOff>
                    <xdr:row>158</xdr:row>
                    <xdr:rowOff>47625</xdr:rowOff>
                  </from>
                  <to>
                    <xdr:col>4</xdr:col>
                    <xdr:colOff>904875</xdr:colOff>
                    <xdr:row>160</xdr:row>
                    <xdr:rowOff>114300</xdr:rowOff>
                  </to>
                </anchor>
              </controlPr>
            </control>
          </mc:Choice>
        </mc:AlternateContent>
        <mc:AlternateContent xmlns:mc="http://schemas.openxmlformats.org/markup-compatibility/2006">
          <mc:Choice Requires="x14">
            <control shapeId="244738" r:id="rId5" name="Drop Down 2">
              <controlPr locked="0" defaultSize="0" print="0" autoLine="0" autoPict="0">
                <anchor moveWithCells="1">
                  <from>
                    <xdr:col>1</xdr:col>
                    <xdr:colOff>2905125</xdr:colOff>
                    <xdr:row>95</xdr:row>
                    <xdr:rowOff>38100</xdr:rowOff>
                  </from>
                  <to>
                    <xdr:col>4</xdr:col>
                    <xdr:colOff>904875</xdr:colOff>
                    <xdr:row>99</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 id="{46127A78-A023-4997-B8DB-982509E5CEA8}">
            <xm:f>'Gen Info'!$K$17="Direct to Processor"</xm:f>
            <x14:dxf>
              <font>
                <color theme="0" tint="-0.499984740745262"/>
              </font>
              <fill>
                <patternFill>
                  <bgColor theme="0" tint="-0.34998626667073579"/>
                </patternFill>
              </fill>
            </x14:dxf>
          </x14:cfRule>
          <xm:sqref>B102:Q138 B140:Q157 B227 F227:Q227</xm:sqref>
        </x14:conditionalFormatting>
        <x14:conditionalFormatting xmlns:xm="http://schemas.microsoft.com/office/excel/2006/main">
          <x14:cfRule type="expression" priority="23" id="{0784C8EF-07B9-44A7-9B74-198EB4BD50F2}">
            <xm:f>'Gen Info'!$K$17="Direct to Processor"</xm:f>
            <x14:dxf>
              <font>
                <color theme="0" tint="-0.499984740745262"/>
              </font>
              <fill>
                <patternFill>
                  <bgColor theme="0" tint="-0.34998626667073579"/>
                </patternFill>
              </fill>
            </x14:dxf>
          </x14:cfRule>
          <xm:sqref>B113:D117</xm:sqref>
        </x14:conditionalFormatting>
        <x14:conditionalFormatting xmlns:xm="http://schemas.microsoft.com/office/excel/2006/main">
          <x14:cfRule type="expression" priority="22" id="{BFDB2DA2-9E53-4F30-9A3E-9549251BAA3C}">
            <xm:f>'Gen Info'!$K$17="Direct to Processor"</xm:f>
            <x14:dxf>
              <font>
                <color theme="0" tint="-0.499984740745262"/>
              </font>
              <fill>
                <patternFill>
                  <bgColor theme="0" tint="-0.34998626667073579"/>
                </patternFill>
              </fill>
            </x14:dxf>
          </x14:cfRule>
          <xm:sqref>B126:D126</xm:sqref>
        </x14:conditionalFormatting>
        <x14:conditionalFormatting xmlns:xm="http://schemas.microsoft.com/office/excel/2006/main">
          <x14:cfRule type="expression" priority="15" id="{4B07D85D-3540-46B8-B382-221FF01B97F3}">
            <xm:f>'Gen Info'!$K$17="Direct to Processor"</xm:f>
            <x14:dxf>
              <font>
                <color theme="0" tint="-0.499984740745262"/>
              </font>
              <fill>
                <patternFill>
                  <bgColor theme="0" tint="-0.34998626667073579"/>
                </patternFill>
              </fill>
            </x14:dxf>
          </x14:cfRule>
          <xm:sqref>B215:Q215</xm:sqref>
        </x14:conditionalFormatting>
        <x14:conditionalFormatting xmlns:xm="http://schemas.microsoft.com/office/excel/2006/main">
          <x14:cfRule type="expression" priority="7" id="{2EC9D1FD-FF56-4AC3-A720-2E4E98A32925}">
            <xm:f>'Gen Info'!$K$17="Direct to Consumer"</xm:f>
            <x14:dxf>
              <font>
                <color theme="0" tint="-0.499984740745262"/>
              </font>
              <fill>
                <patternFill>
                  <bgColor theme="0" tint="-0.34998626667073579"/>
                </patternFill>
              </fill>
            </x14:dxf>
          </x14:cfRule>
          <xm:sqref>B214:Q214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825</vt:i4>
      </vt:variant>
    </vt:vector>
  </HeadingPairs>
  <TitlesOfParts>
    <vt:vector size="841" baseType="lpstr">
      <vt:lpstr>Gen Info</vt:lpstr>
      <vt:lpstr>Inputs</vt:lpstr>
      <vt:lpstr>Asset Entry</vt:lpstr>
      <vt:lpstr>Inventory</vt:lpstr>
      <vt:lpstr>Liability Entry</vt:lpstr>
      <vt:lpstr>Loan Entry</vt:lpstr>
      <vt:lpstr>Final Balance Sheet</vt:lpstr>
      <vt:lpstr>Loans to Cash Flows Wkst</vt:lpstr>
      <vt:lpstr>Cash Flows</vt:lpstr>
      <vt:lpstr>ProposedLoans</vt:lpstr>
      <vt:lpstr>ProposedLoansWkst</vt:lpstr>
      <vt:lpstr>Projected Inventory</vt:lpstr>
      <vt:lpstr>Final Income and Cash Flows</vt:lpstr>
      <vt:lpstr>Financial Scorecard</vt:lpstr>
      <vt:lpstr>Projected BS</vt:lpstr>
      <vt:lpstr>Dashboard</vt:lpstr>
      <vt:lpstr>ACFBuildBSValTot</vt:lpstr>
      <vt:lpstr>ACFCapPurchBuildingsTot</vt:lpstr>
      <vt:lpstr>ACFCapPurchEquipTot</vt:lpstr>
      <vt:lpstr>ACFCapPurchInput</vt:lpstr>
      <vt:lpstr>ACFCapPurchLivestockTot</vt:lpstr>
      <vt:lpstr>ACFCropInsIncInput</vt:lpstr>
      <vt:lpstr>ACFCropInsIncTot</vt:lpstr>
      <vt:lpstr>ACFCullIncomeInput</vt:lpstr>
      <vt:lpstr>ACFCullIncomeTot</vt:lpstr>
      <vt:lpstr>ACFDMCapPurchInput</vt:lpstr>
      <vt:lpstr>ACFDMCapPurchTot</vt:lpstr>
      <vt:lpstr>ACFDMEquipBSValTot</vt:lpstr>
      <vt:lpstr>ACFDMEquipGainInput</vt:lpstr>
      <vt:lpstr>ACFDMEquipGainTot</vt:lpstr>
      <vt:lpstr>ACFDMEquipSaleInput</vt:lpstr>
      <vt:lpstr>ACFDMEquipSaleTot</vt:lpstr>
      <vt:lpstr>ACFDMEtcInput</vt:lpstr>
      <vt:lpstr>ACFDMEtcTot</vt:lpstr>
      <vt:lpstr>ACFDMFCDeprInput</vt:lpstr>
      <vt:lpstr>ACFDMFCDeprTot</vt:lpstr>
      <vt:lpstr>ACFDMFCIntInput</vt:lpstr>
      <vt:lpstr>ACFDMFCIntTot</vt:lpstr>
      <vt:lpstr>ACFDMFCMiscInput</vt:lpstr>
      <vt:lpstr>ACFDMFCMiscTot</vt:lpstr>
      <vt:lpstr>ACFDMFCOthInput</vt:lpstr>
      <vt:lpstr>ACFDMFCOthTot</vt:lpstr>
      <vt:lpstr>ACFDMFCPermitsInput</vt:lpstr>
      <vt:lpstr>ACFDMFCPermitTot</vt:lpstr>
      <vt:lpstr>ACFDMFCPromoInput</vt:lpstr>
      <vt:lpstr>ACFDMFCPromoTot</vt:lpstr>
      <vt:lpstr>ACFDMFCRentInput</vt:lpstr>
      <vt:lpstr>ACFDMFCRentTot</vt:lpstr>
      <vt:lpstr>ACFDMFCVehInput</vt:lpstr>
      <vt:lpstr>ACFDMFCVehTot</vt:lpstr>
      <vt:lpstr>ACFDMINVChangeInput</vt:lpstr>
      <vt:lpstr>ACFDMINVChangeTot</vt:lpstr>
      <vt:lpstr>ACFDMNewCredInput</vt:lpstr>
      <vt:lpstr>ACFDMNewCredTot</vt:lpstr>
      <vt:lpstr>ACFDMNewDMOpInput</vt:lpstr>
      <vt:lpstr>ACFDMNewDMOpTot</vt:lpstr>
      <vt:lpstr>ACFDMOthInput</vt:lpstr>
      <vt:lpstr>ACFDMOthTot</vt:lpstr>
      <vt:lpstr>ACFDMPrinInput</vt:lpstr>
      <vt:lpstr>ACFDMPrinOpTot</vt:lpstr>
      <vt:lpstr>ACFDMPrinTot</vt:lpstr>
      <vt:lpstr>ACFDMSalesCSAInput</vt:lpstr>
      <vt:lpstr>ACFDMSalesCSATot</vt:lpstr>
      <vt:lpstr>ACFDMSalesFarmMktInput</vt:lpstr>
      <vt:lpstr>ACFDMSalesFarmMktTot</vt:lpstr>
      <vt:lpstr>ACFDMSalesFarmstandInput</vt:lpstr>
      <vt:lpstr>ACFDMSalesFarmstandTot</vt:lpstr>
      <vt:lpstr>ACFDMSalesOtherInput</vt:lpstr>
      <vt:lpstr>ACFDMSalesOtherTot</vt:lpstr>
      <vt:lpstr>ACFDMValueLaborTot</vt:lpstr>
      <vt:lpstr>ACFDMVCColdInput</vt:lpstr>
      <vt:lpstr>ACFDMVCColdTot</vt:lpstr>
      <vt:lpstr>ACFDMVCInsInput</vt:lpstr>
      <vt:lpstr>ACFDMVCInsTot</vt:lpstr>
      <vt:lpstr>ACFDMVCLaborInput</vt:lpstr>
      <vt:lpstr>ACFDMVCLaborTot</vt:lpstr>
      <vt:lpstr>ACFDMVCMktSuppInput</vt:lpstr>
      <vt:lpstr>ACFDMVCMktSuppTot</vt:lpstr>
      <vt:lpstr>ACFDMVCOthInput</vt:lpstr>
      <vt:lpstr>ACFDMVCOthTot</vt:lpstr>
      <vt:lpstr>ACFDMVCPackInput</vt:lpstr>
      <vt:lpstr>ACFDMVCPackTot</vt:lpstr>
      <vt:lpstr>ACFDMVCResaleInput</vt:lpstr>
      <vt:lpstr>ACFDMVCResaleTot</vt:lpstr>
      <vt:lpstr>ACFDMVCShipInput</vt:lpstr>
      <vt:lpstr>ACFDMVCShippingTot</vt:lpstr>
      <vt:lpstr>ACFDMVCSuppliesInput</vt:lpstr>
      <vt:lpstr>ACFDMVCSuppliesTot</vt:lpstr>
      <vt:lpstr>ACFDMVCUtilInput</vt:lpstr>
      <vt:lpstr>ACFDMVCUtilTot</vt:lpstr>
      <vt:lpstr>ACFEquipBSValTot</vt:lpstr>
      <vt:lpstr>ACFFCDeprBuildInput</vt:lpstr>
      <vt:lpstr>ACFFCDeprBuildTot</vt:lpstr>
      <vt:lpstr>ACFFCDeprEquipInput</vt:lpstr>
      <vt:lpstr>ACFFCDeprEquipTot</vt:lpstr>
      <vt:lpstr>ACFFCDeprLivestockInput</vt:lpstr>
      <vt:lpstr>ACFFCDeprLivestockTot</vt:lpstr>
      <vt:lpstr>ACFFCFarmInsInput</vt:lpstr>
      <vt:lpstr>ACFFCFarmInsTot</vt:lpstr>
      <vt:lpstr>ACFFCInterestInput</vt:lpstr>
      <vt:lpstr>ACFFCInterestTot</vt:lpstr>
      <vt:lpstr>ACFFCLandRentInput</vt:lpstr>
      <vt:lpstr>ACFFCLandRentTot</vt:lpstr>
      <vt:lpstr>ACFFCMachLeaseInput</vt:lpstr>
      <vt:lpstr>ACFFCMachLeaseTot</vt:lpstr>
      <vt:lpstr>ACFFCOthInput</vt:lpstr>
      <vt:lpstr>ACFFCOthTot</vt:lpstr>
      <vt:lpstr>ACFFCPermitTot</vt:lpstr>
      <vt:lpstr>ACFFCProfInput</vt:lpstr>
      <vt:lpstr>ACFFCProfTot</vt:lpstr>
      <vt:lpstr>ACFFCPropTaxInput</vt:lpstr>
      <vt:lpstr>ACFFCPropTaxTot</vt:lpstr>
      <vt:lpstr>ACFGainBuildTot</vt:lpstr>
      <vt:lpstr>ACFGainEquipInput</vt:lpstr>
      <vt:lpstr>ACFGainEquipTot</vt:lpstr>
      <vt:lpstr>ACFGainPurchLivestockTot</vt:lpstr>
      <vt:lpstr>ACFGovPayInput</vt:lpstr>
      <vt:lpstr>ACFGovPayTot</vt:lpstr>
      <vt:lpstr>ACFIncCustomWorkInput</vt:lpstr>
      <vt:lpstr>ACFIncCustomWorkTot</vt:lpstr>
      <vt:lpstr>ACFINVChangeInput</vt:lpstr>
      <vt:lpstr>ACFINVChangeTot</vt:lpstr>
      <vt:lpstr>ACFINVCropChangeTot</vt:lpstr>
      <vt:lpstr>ACFLivestockBSValTot</vt:lpstr>
      <vt:lpstr>ACFNewCredInput</vt:lpstr>
      <vt:lpstr>ACFNewCredTot</vt:lpstr>
      <vt:lpstr>ACFNewOpInput</vt:lpstr>
      <vt:lpstr>ACFNewOpTot</vt:lpstr>
      <vt:lpstr>ACFOthIncomeInput</vt:lpstr>
      <vt:lpstr>ACFOthTot</vt:lpstr>
      <vt:lpstr>ACFPatronageInput</vt:lpstr>
      <vt:lpstr>ACFPatronageTot</vt:lpstr>
      <vt:lpstr>ACFPChildCareInput</vt:lpstr>
      <vt:lpstr>ACFPChildCareTot</vt:lpstr>
      <vt:lpstr>ACFPChildSupInput</vt:lpstr>
      <vt:lpstr>ACFPChildSupTot</vt:lpstr>
      <vt:lpstr>ACFPClothingInput</vt:lpstr>
      <vt:lpstr>ACFPClothingTot</vt:lpstr>
      <vt:lpstr>ACFPDisInsInput</vt:lpstr>
      <vt:lpstr>ACFPDisInsTot</vt:lpstr>
      <vt:lpstr>ACFPEducationInput</vt:lpstr>
      <vt:lpstr>ACFPEducationTot</vt:lpstr>
      <vt:lpstr>ACFPFoodInput</vt:lpstr>
      <vt:lpstr>ACFPFoodTot</vt:lpstr>
      <vt:lpstr>ACFPGiftsInput</vt:lpstr>
      <vt:lpstr>ACFPGiftsTot</vt:lpstr>
      <vt:lpstr>ACFPIncPersLoansInput</vt:lpstr>
      <vt:lpstr>ACFPIncPersLoansInputLoan</vt:lpstr>
      <vt:lpstr>ACFPIncPersLoansTot</vt:lpstr>
      <vt:lpstr>ACFPIncPersLoansTotLoan</vt:lpstr>
      <vt:lpstr>ACFPIncPersREEInput</vt:lpstr>
      <vt:lpstr>ACFPIncPersREEInputLoan</vt:lpstr>
      <vt:lpstr>aCFPIncPersREETot</vt:lpstr>
      <vt:lpstr>ACFPIncPersREETotLoan</vt:lpstr>
      <vt:lpstr>ACFPIncTaxInput</vt:lpstr>
      <vt:lpstr>ACFPIncTaxTot</vt:lpstr>
      <vt:lpstr>ACFPInsInput</vt:lpstr>
      <vt:lpstr>ACFPInsTot</vt:lpstr>
      <vt:lpstr>ACFPIntIncTot</vt:lpstr>
      <vt:lpstr>ACFPIntInput</vt:lpstr>
      <vt:lpstr>ACFPInvestInput</vt:lpstr>
      <vt:lpstr>ACFPInvestTot</vt:lpstr>
      <vt:lpstr>ACFPLifeInsInput</vt:lpstr>
      <vt:lpstr>ACFPLifeInsTot</vt:lpstr>
      <vt:lpstr>ACFPLoanPayInput</vt:lpstr>
      <vt:lpstr>ACFPLoanPayTot</vt:lpstr>
      <vt:lpstr>ACFPMedicalInput</vt:lpstr>
      <vt:lpstr>ACFPMedicalTot</vt:lpstr>
      <vt:lpstr>ACFPMortInput</vt:lpstr>
      <vt:lpstr>ACFPMortTot</vt:lpstr>
      <vt:lpstr>ACFPOthIncInput</vt:lpstr>
      <vt:lpstr>ACFPOthIncTot</vt:lpstr>
      <vt:lpstr>ACFPOthPayInput</vt:lpstr>
      <vt:lpstr>ACFPOthPayTot</vt:lpstr>
      <vt:lpstr>ACFPOthPurchInput</vt:lpstr>
      <vt:lpstr>ACFPOthPurchTot</vt:lpstr>
      <vt:lpstr>ACFPPersCapPurchInput</vt:lpstr>
      <vt:lpstr>ACFPPersCapPurchTot</vt:lpstr>
      <vt:lpstr>ACFPPersCareInput</vt:lpstr>
      <vt:lpstr>ACFPPersCareTot</vt:lpstr>
      <vt:lpstr>ACFPPersRetirementInput</vt:lpstr>
      <vt:lpstr>ACFPPersRetirementTot</vt:lpstr>
      <vt:lpstr>ACFPPersVehPurchInput</vt:lpstr>
      <vt:lpstr>ACFPPersVehPurchTot</vt:lpstr>
      <vt:lpstr>ACFPPropInsInput</vt:lpstr>
      <vt:lpstr>ACFPPropInsTot</vt:lpstr>
      <vt:lpstr>ACFPRecInput</vt:lpstr>
      <vt:lpstr>ACFPRecTot</vt:lpstr>
      <vt:lpstr>ACFPRETaxesInput</vt:lpstr>
      <vt:lpstr>ACFPRETaxesTot</vt:lpstr>
      <vt:lpstr>ACFPrinInput</vt:lpstr>
      <vt:lpstr>ACFPrinOpTot</vt:lpstr>
      <vt:lpstr>ACFPrinTot</vt:lpstr>
      <vt:lpstr>ACFPSupInput</vt:lpstr>
      <vt:lpstr>ACFPSupTot</vt:lpstr>
      <vt:lpstr>ACFPUtilInput</vt:lpstr>
      <vt:lpstr>ACFPUtilTot</vt:lpstr>
      <vt:lpstr>ACFPVehInput</vt:lpstr>
      <vt:lpstr>ACFPVehTot</vt:lpstr>
      <vt:lpstr>ACFPWagesInput</vt:lpstr>
      <vt:lpstr>ACFPWagesTot</vt:lpstr>
      <vt:lpstr>ACFSalesBuildInput</vt:lpstr>
      <vt:lpstr>ACFSalesBuildTot</vt:lpstr>
      <vt:lpstr>ACFSalesCropsInput</vt:lpstr>
      <vt:lpstr>ACFSalesCropTot</vt:lpstr>
      <vt:lpstr>ACFSalesEquipInput</vt:lpstr>
      <vt:lpstr>ACFSalesEquipTot</vt:lpstr>
      <vt:lpstr>ACFSalesLivestockInput</vt:lpstr>
      <vt:lpstr>ACFSalesLivestockProdInput</vt:lpstr>
      <vt:lpstr>ACFSalesLivestockProdTot</vt:lpstr>
      <vt:lpstr>ACFSalesLivestockTot</vt:lpstr>
      <vt:lpstr>ACFSalesVegFruitInput</vt:lpstr>
      <vt:lpstr>ACFSalesVegFruitTot</vt:lpstr>
      <vt:lpstr>ACFValueLaborTot</vt:lpstr>
      <vt:lpstr>ACFVCChemInput</vt:lpstr>
      <vt:lpstr>ACFVCChemTot</vt:lpstr>
      <vt:lpstr>ACFVCCropConsultInput</vt:lpstr>
      <vt:lpstr>ACFVCCropConsultTot</vt:lpstr>
      <vt:lpstr>ACFVCCropInsInput</vt:lpstr>
      <vt:lpstr>ACFVCCropInsTot</vt:lpstr>
      <vt:lpstr>ACFVCCropMarketingInput</vt:lpstr>
      <vt:lpstr>ACFVCCropMarketingTot</vt:lpstr>
      <vt:lpstr>ACFVCCropSuppliesInput</vt:lpstr>
      <vt:lpstr>ACFVCCropSuppliesTot</vt:lpstr>
      <vt:lpstr>ACFVCCustomHireInput</vt:lpstr>
      <vt:lpstr>ACFVCCustomHireTot</vt:lpstr>
      <vt:lpstr>ACFVCDryingInput</vt:lpstr>
      <vt:lpstr>ACFVCDryingTot</vt:lpstr>
      <vt:lpstr>ACFVCFeederLivestockInput</vt:lpstr>
      <vt:lpstr>ACFVCFeederLivestockTot</vt:lpstr>
      <vt:lpstr>ACFVCFertilizerInput</vt:lpstr>
      <vt:lpstr>ACFVCFertilizerTot</vt:lpstr>
      <vt:lpstr>ACFVCFuelInput</vt:lpstr>
      <vt:lpstr>ACFVCFuelTot</vt:lpstr>
      <vt:lpstr>ACFVCGovProgInput</vt:lpstr>
      <vt:lpstr>ACFVCGovProgTot</vt:lpstr>
      <vt:lpstr>ACFVCGrazingInput</vt:lpstr>
      <vt:lpstr>ACFVCGrazingTot</vt:lpstr>
      <vt:lpstr>ACFVCGreenhouseSuppliesInput</vt:lpstr>
      <vt:lpstr>ACFVCGreenhouseSuppliesTot</vt:lpstr>
      <vt:lpstr>ACFVCIrrigationInput</vt:lpstr>
      <vt:lpstr>ACFVCIrrigationTot</vt:lpstr>
      <vt:lpstr>ACFVCLaborInput</vt:lpstr>
      <vt:lpstr>ACFVCLaborTot</vt:lpstr>
      <vt:lpstr>ACFVCLivestockConsultTot</vt:lpstr>
      <vt:lpstr>ACFVCLivestockInsuranceInput</vt:lpstr>
      <vt:lpstr>ACFVCLivestockInsuranceTot</vt:lpstr>
      <vt:lpstr>ACFVCLivestockMarketingInput</vt:lpstr>
      <vt:lpstr>ACFVCLivestockMarketingTot</vt:lpstr>
      <vt:lpstr>ACFVCLivestockSuppliesInput</vt:lpstr>
      <vt:lpstr>ACFVCLivestockSuppliesTot</vt:lpstr>
      <vt:lpstr>ACFVCOthInput</vt:lpstr>
      <vt:lpstr>ACFVCOthTot</vt:lpstr>
      <vt:lpstr>ACFVCPurchFeedInput</vt:lpstr>
      <vt:lpstr>ACFVCPurchFeedTot</vt:lpstr>
      <vt:lpstr>ACFVCRepairsInput</vt:lpstr>
      <vt:lpstr>ACFVCRepairsTot</vt:lpstr>
      <vt:lpstr>ACFVCSeedInput</vt:lpstr>
      <vt:lpstr>ACFVCSeedTot</vt:lpstr>
      <vt:lpstr>ACFVCStorageInput</vt:lpstr>
      <vt:lpstr>ACFVCStorageTot</vt:lpstr>
      <vt:lpstr>ACFVCTaxesInput</vt:lpstr>
      <vt:lpstr>ACFVCTaxesTot</vt:lpstr>
      <vt:lpstr>ACFVCUtilInput</vt:lpstr>
      <vt:lpstr>ACFVCUtilTot</vt:lpstr>
      <vt:lpstr>ACFVCVetInput</vt:lpstr>
      <vt:lpstr>ACFVCVetTot</vt:lpstr>
      <vt:lpstr>Address</vt:lpstr>
      <vt:lpstr>AnnualIcon</vt:lpstr>
      <vt:lpstr>BalanceSheet</vt:lpstr>
      <vt:lpstr>Blank</vt:lpstr>
      <vt:lpstr>BusName</vt:lpstr>
      <vt:lpstr>CABusLoanEntry</vt:lpstr>
      <vt:lpstr>CABusLoansRecTot</vt:lpstr>
      <vt:lpstr>CACashEntry</vt:lpstr>
      <vt:lpstr>CACashTot</vt:lpstr>
      <vt:lpstr>CADueEntry</vt:lpstr>
      <vt:lpstr>CADueProcTot</vt:lpstr>
      <vt:lpstr>CAOthAREntry</vt:lpstr>
      <vt:lpstr>CAOtherEntry</vt:lpstr>
      <vt:lpstr>CAOtherTot</vt:lpstr>
      <vt:lpstr>CAOthRecTot</vt:lpstr>
      <vt:lpstr>CAPrepaidEntry</vt:lpstr>
      <vt:lpstr>CAPrepaids</vt:lpstr>
      <vt:lpstr>CAPrepaidTot</vt:lpstr>
      <vt:lpstr>CashDetail</vt:lpstr>
      <vt:lpstr>City</vt:lpstr>
      <vt:lpstr>CLAPEntry</vt:lpstr>
      <vt:lpstr>CLAPTot</vt:lpstr>
      <vt:lpstr>CLBizAcrIntEntry</vt:lpstr>
      <vt:lpstr>CLBizAcrIntTot</vt:lpstr>
      <vt:lpstr>CLBizCCEntry</vt:lpstr>
      <vt:lpstr>CLBizCCTot</vt:lpstr>
      <vt:lpstr>CLOthCurEntry</vt:lpstr>
      <vt:lpstr>CLOthCurTot</vt:lpstr>
      <vt:lpstr>CLTaxesEntry</vt:lpstr>
      <vt:lpstr>CLTaxesTot</vt:lpstr>
      <vt:lpstr>'Final Income and Cash Flows'!Criteria</vt:lpstr>
      <vt:lpstr>CumulativeCashApr</vt:lpstr>
      <vt:lpstr>CumulativeCashAug</vt:lpstr>
      <vt:lpstr>CumulativeCashDec</vt:lpstr>
      <vt:lpstr>CumulativeCashFeb</vt:lpstr>
      <vt:lpstr>CumulativeCashJan</vt:lpstr>
      <vt:lpstr>CumulativeCashJuly</vt:lpstr>
      <vt:lpstr>CumulativeCashJune</vt:lpstr>
      <vt:lpstr>CumulativeCashMar</vt:lpstr>
      <vt:lpstr>CumulativeCashMay</vt:lpstr>
      <vt:lpstr>CumulativeCashNov</vt:lpstr>
      <vt:lpstr>CumulativeCashOct</vt:lpstr>
      <vt:lpstr>CumulativeCashSept</vt:lpstr>
      <vt:lpstr>CurAssetsDet</vt:lpstr>
      <vt:lpstr>CurPortLT</vt:lpstr>
      <vt:lpstr>CurPortLTProjected</vt:lpstr>
      <vt:lpstr>CurrentAssetsDetail</vt:lpstr>
      <vt:lpstr>DashboardChoiceExpGraphChoice</vt:lpstr>
      <vt:lpstr>DashboardChoiceIncExpGraph</vt:lpstr>
      <vt:lpstr>DashboardChoiceIncExpGraphChoice</vt:lpstr>
      <vt:lpstr>DMNetIncome</vt:lpstr>
      <vt:lpstr>FishingNetIncome</vt:lpstr>
      <vt:lpstr>GenDate</vt:lpstr>
      <vt:lpstr>GenInfoBSDate</vt:lpstr>
      <vt:lpstr>HowSell</vt:lpstr>
      <vt:lpstr>HowSellText</vt:lpstr>
      <vt:lpstr>InvCropsEntry</vt:lpstr>
      <vt:lpstr>InvLivestockEntry</vt:lpstr>
      <vt:lpstr>InvOtherEntry</vt:lpstr>
      <vt:lpstr>'Projected Inventory'!InvProjCropsEntry</vt:lpstr>
      <vt:lpstr>InvProjCropsEntryProj</vt:lpstr>
      <vt:lpstr>'Projected Inventory'!InvProjLivestockEntry</vt:lpstr>
      <vt:lpstr>InvProjLivestockEntryProj</vt:lpstr>
      <vt:lpstr>InvProjOthEntryProj</vt:lpstr>
      <vt:lpstr>'Projected Inventory'!InvProjOtherEntry</vt:lpstr>
      <vt:lpstr>InvTCropsEntry</vt:lpstr>
      <vt:lpstr>InvTLivestockEntry</vt:lpstr>
      <vt:lpstr>InvTOtherEntry</vt:lpstr>
      <vt:lpstr>'Projected Inventory'!InvTProjCropsEntry</vt:lpstr>
      <vt:lpstr>'Projected Inventory'!InvTProjLivestockEntry</vt:lpstr>
      <vt:lpstr>'Projected Inventory'!InvTProjOtherEntry</vt:lpstr>
      <vt:lpstr>LoanAccrInt</vt:lpstr>
      <vt:lpstr>LoanAccrIntPers</vt:lpstr>
      <vt:lpstr>LoanAccrIntProj</vt:lpstr>
      <vt:lpstr>LoanAccrIntProjPers</vt:lpstr>
      <vt:lpstr>LoanBuildEntry</vt:lpstr>
      <vt:lpstr>LoanBuildEntryProjected</vt:lpstr>
      <vt:lpstr>LoanBVehEntry</vt:lpstr>
      <vt:lpstr>LoanBVehEntryProjected</vt:lpstr>
      <vt:lpstr>LoanCurrent</vt:lpstr>
      <vt:lpstr>LoanEquipmentEntry</vt:lpstr>
      <vt:lpstr>LoanEquipmentEntryProjected</vt:lpstr>
      <vt:lpstr>LoanFreq</vt:lpstr>
      <vt:lpstr>LoanLivestockEntry</vt:lpstr>
      <vt:lpstr>LoanLivestockEntryProjected</vt:lpstr>
      <vt:lpstr>LoanOthBizEntry</vt:lpstr>
      <vt:lpstr>LoanOthBizEntryProjected</vt:lpstr>
      <vt:lpstr>LoanPersEntry</vt:lpstr>
      <vt:lpstr>LoanPersEntryCurrent</vt:lpstr>
      <vt:lpstr>LoanPersEntryCurrentProjected</vt:lpstr>
      <vt:lpstr>LoanPersEntryProjected</vt:lpstr>
      <vt:lpstr>LoanPersREEntry</vt:lpstr>
      <vt:lpstr>LoanPersREEntryCurrent</vt:lpstr>
      <vt:lpstr>LoanPersREEntryCurrentProjected</vt:lpstr>
      <vt:lpstr>LoanPersREEntryProjected</vt:lpstr>
      <vt:lpstr>LoanProjSumAgBusAccrInt</vt:lpstr>
      <vt:lpstr>LoanProjSumAgBusCurr</vt:lpstr>
      <vt:lpstr>LoanProjSumAgBusPayment</vt:lpstr>
      <vt:lpstr>LoanProjSumAgBusRem</vt:lpstr>
      <vt:lpstr>LoanProjSumDMBusAccrInt</vt:lpstr>
      <vt:lpstr>LoanProjSumDMBusCurr</vt:lpstr>
      <vt:lpstr>LoanProjSumDMBusPayment</vt:lpstr>
      <vt:lpstr>LoanProjSumDMBusRem</vt:lpstr>
      <vt:lpstr>LoanProjSumDMOpAccrInt</vt:lpstr>
      <vt:lpstr>LoanProjSumDMOpCurr</vt:lpstr>
      <vt:lpstr>LoanProjSumDMOpPayment</vt:lpstr>
      <vt:lpstr>LoanProjSumDMOpRem</vt:lpstr>
      <vt:lpstr>LoanProjSumOpAgAccrInt</vt:lpstr>
      <vt:lpstr>LoanProjSumOpAgCurr</vt:lpstr>
      <vt:lpstr>LoanProjSumOpAgPayment</vt:lpstr>
      <vt:lpstr>LoanProjSumOpAgRem</vt:lpstr>
      <vt:lpstr>LoanProjSumPersAccrInt</vt:lpstr>
      <vt:lpstr>LoanProjSumPersCurr</vt:lpstr>
      <vt:lpstr>LoanProjSumPersPayment</vt:lpstr>
      <vt:lpstr>LoanProjSumPersREAccrInt</vt:lpstr>
      <vt:lpstr>LoanProjSumPersRECurr</vt:lpstr>
      <vt:lpstr>LoanProjSumPersRem</vt:lpstr>
      <vt:lpstr>LoanProjSumPersREPayment</vt:lpstr>
      <vt:lpstr>LoanProjSumPersRERem</vt:lpstr>
      <vt:lpstr>LoanProposedEntry</vt:lpstr>
      <vt:lpstr>LoanREEntry</vt:lpstr>
      <vt:lpstr>LoanREEntryProjected</vt:lpstr>
      <vt:lpstr>LoanTBuildEntry</vt:lpstr>
      <vt:lpstr>LoanTBVeh</vt:lpstr>
      <vt:lpstr>LoanTCurrEntry</vt:lpstr>
      <vt:lpstr>LoanTEquipEntry</vt:lpstr>
      <vt:lpstr>LoanTEquipment</vt:lpstr>
      <vt:lpstr>LoanTEquipmentEntry</vt:lpstr>
      <vt:lpstr>LoanTLivestockEntry</vt:lpstr>
      <vt:lpstr>LoanTOthBiz</vt:lpstr>
      <vt:lpstr>LoanTPerREEntry</vt:lpstr>
      <vt:lpstr>LoanTPersEntry</vt:lpstr>
      <vt:lpstr>LoanTREEntry</vt:lpstr>
      <vt:lpstr>MCFBuildBSValInput</vt:lpstr>
      <vt:lpstr>MCFBuildBSValTot</vt:lpstr>
      <vt:lpstr>MCFCapPurchBuildingsInput</vt:lpstr>
      <vt:lpstr>MCFCapPurchBuildingsTot</vt:lpstr>
      <vt:lpstr>MCFCapPurchEquipInput</vt:lpstr>
      <vt:lpstr>MCFCapPurchEquipTot</vt:lpstr>
      <vt:lpstr>MCFCapPurchLivestockInput</vt:lpstr>
      <vt:lpstr>MCFCapPurchLivestockTot</vt:lpstr>
      <vt:lpstr>MCFCropInsIncInput</vt:lpstr>
      <vt:lpstr>MCFCropInsIncTot</vt:lpstr>
      <vt:lpstr>MCFCullIncomeInput</vt:lpstr>
      <vt:lpstr>MCFCullIncomeTot</vt:lpstr>
      <vt:lpstr>MCFDMCapPurchInput</vt:lpstr>
      <vt:lpstr>MCFDMCapPurchTot</vt:lpstr>
      <vt:lpstr>MCFDMEquipBSValInput</vt:lpstr>
      <vt:lpstr>MCFDMEquipBSValTot</vt:lpstr>
      <vt:lpstr>MCFDMEquipGainInput</vt:lpstr>
      <vt:lpstr>MCFDMEquipGainTot</vt:lpstr>
      <vt:lpstr>MCFDMEquipSaleInput</vt:lpstr>
      <vt:lpstr>MCFDMEquipSaleTot</vt:lpstr>
      <vt:lpstr>MCFDMEtcInput</vt:lpstr>
      <vt:lpstr>MCFDMEtcTot</vt:lpstr>
      <vt:lpstr>MCFDMFCDeprInput</vt:lpstr>
      <vt:lpstr>MCFDMFCDeprTot</vt:lpstr>
      <vt:lpstr>MCFDMFCIntInput</vt:lpstr>
      <vt:lpstr>MCFDMFCIntTot</vt:lpstr>
      <vt:lpstr>MCFDMFCMiscInput</vt:lpstr>
      <vt:lpstr>MCFDMFCMiscTot</vt:lpstr>
      <vt:lpstr>MCFDMFCOthInput</vt:lpstr>
      <vt:lpstr>MCFDMFCOthTot</vt:lpstr>
      <vt:lpstr>MCFDMFCPermitsInput</vt:lpstr>
      <vt:lpstr>MCFDMFCPermitTot</vt:lpstr>
      <vt:lpstr>MCFDMFCPromoInput</vt:lpstr>
      <vt:lpstr>MCFDMFCPromoTot</vt:lpstr>
      <vt:lpstr>MCFDMFCRentInput</vt:lpstr>
      <vt:lpstr>MCFDMFCRentTot</vt:lpstr>
      <vt:lpstr>MCFDMFCVehInput</vt:lpstr>
      <vt:lpstr>MCFDMFCVehTot</vt:lpstr>
      <vt:lpstr>MCFDMINVChangeInput</vt:lpstr>
      <vt:lpstr>MCFDMINVChangeTot</vt:lpstr>
      <vt:lpstr>MCFDMNewCredInput</vt:lpstr>
      <vt:lpstr>MCFDMNewCredTot</vt:lpstr>
      <vt:lpstr>MCFDMNewDMOpInput</vt:lpstr>
      <vt:lpstr>MCFDMNewDMOpTot</vt:lpstr>
      <vt:lpstr>MCFDMOthInput</vt:lpstr>
      <vt:lpstr>MCFDMOthTot</vt:lpstr>
      <vt:lpstr>MCFDMPrinInput</vt:lpstr>
      <vt:lpstr>MCFDMPrinOpInput</vt:lpstr>
      <vt:lpstr>MCFDMPrinOpTot</vt:lpstr>
      <vt:lpstr>MCFDMPrinTot</vt:lpstr>
      <vt:lpstr>MCFDMSalesCSAInput</vt:lpstr>
      <vt:lpstr>MCFDMSalesCSATot</vt:lpstr>
      <vt:lpstr>MCFDMSalesFarmMktInput</vt:lpstr>
      <vt:lpstr>MCFDMSalesFarmMktTot</vt:lpstr>
      <vt:lpstr>MCFDMSalesFarmstandInput</vt:lpstr>
      <vt:lpstr>MCFDMSalesFarmstandTot</vt:lpstr>
      <vt:lpstr>MCFDMSalesOtherInput</vt:lpstr>
      <vt:lpstr>MCFDMSalesOtherTot</vt:lpstr>
      <vt:lpstr>MCFDMValueLaborInput</vt:lpstr>
      <vt:lpstr>MCFDMValueLaborTot</vt:lpstr>
      <vt:lpstr>MCFDMVCColdInput</vt:lpstr>
      <vt:lpstr>MCFDMVCColdTot</vt:lpstr>
      <vt:lpstr>MCFDMVCInsInput</vt:lpstr>
      <vt:lpstr>MCFDMVCInsTot</vt:lpstr>
      <vt:lpstr>MCFDMVCLaborInput</vt:lpstr>
      <vt:lpstr>MCFDMVCLaborTot</vt:lpstr>
      <vt:lpstr>MCFDMVCMktSuppInput</vt:lpstr>
      <vt:lpstr>MCFDMVCMktSuppTot</vt:lpstr>
      <vt:lpstr>MCFDMVCOthInput</vt:lpstr>
      <vt:lpstr>MCFDMVCOthTot</vt:lpstr>
      <vt:lpstr>MCFDMVCPackInput</vt:lpstr>
      <vt:lpstr>MCFDMVCPackTot</vt:lpstr>
      <vt:lpstr>MCFDMVCResaleInput</vt:lpstr>
      <vt:lpstr>MCFDMVCResaleTot</vt:lpstr>
      <vt:lpstr>MCFDMVCShippingInput</vt:lpstr>
      <vt:lpstr>MCFDMVCShippingTot</vt:lpstr>
      <vt:lpstr>MCFDMVCSuppliedInput</vt:lpstr>
      <vt:lpstr>MCFDMVCSuppliesTot</vt:lpstr>
      <vt:lpstr>MCFDMVCUtilInput</vt:lpstr>
      <vt:lpstr>MCFDMVCUtilTot</vt:lpstr>
      <vt:lpstr>MCFEquipBSValInput</vt:lpstr>
      <vt:lpstr>MCFEquipBSValTot</vt:lpstr>
      <vt:lpstr>MCFFCDeprBuildInput</vt:lpstr>
      <vt:lpstr>MCFFCDeprBuildTot</vt:lpstr>
      <vt:lpstr>MCFFCDeprEquipInput</vt:lpstr>
      <vt:lpstr>MCFFCDeprEquipTot</vt:lpstr>
      <vt:lpstr>MCFFCDeprLivestockInput</vt:lpstr>
      <vt:lpstr>MCFFCDeprLivestockTot</vt:lpstr>
      <vt:lpstr>MCFFCFarmInsInput</vt:lpstr>
      <vt:lpstr>MCFFCFarmInsTot</vt:lpstr>
      <vt:lpstr>MCFFCInterestInput</vt:lpstr>
      <vt:lpstr>MCFFCInterestTot</vt:lpstr>
      <vt:lpstr>MCFFCLandRentInput</vt:lpstr>
      <vt:lpstr>MCFFCLandRentTot</vt:lpstr>
      <vt:lpstr>MCFFCMachLeaseInput</vt:lpstr>
      <vt:lpstr>MCFFCMachLeaseTot</vt:lpstr>
      <vt:lpstr>MCFFCOthInput</vt:lpstr>
      <vt:lpstr>MCFFCOthTot</vt:lpstr>
      <vt:lpstr>MCFFCPermitInput</vt:lpstr>
      <vt:lpstr>MCFFCPermitTot</vt:lpstr>
      <vt:lpstr>MCFFCProfInput</vt:lpstr>
      <vt:lpstr>MCFFCProfTot</vt:lpstr>
      <vt:lpstr>MCFFCPropTaxesInput</vt:lpstr>
      <vt:lpstr>MCFFCPropTaxTot</vt:lpstr>
      <vt:lpstr>MCFGainBuildInput</vt:lpstr>
      <vt:lpstr>MCFGainBuildTot</vt:lpstr>
      <vt:lpstr>MCFGainEquipInput</vt:lpstr>
      <vt:lpstr>MCFGainEquipTot</vt:lpstr>
      <vt:lpstr>MCFGainPurchLivestockInput</vt:lpstr>
      <vt:lpstr>MCFGainPurchLivestockTot</vt:lpstr>
      <vt:lpstr>MCFGovPayInput</vt:lpstr>
      <vt:lpstr>MCFGovPayTot</vt:lpstr>
      <vt:lpstr>MCFIncCustomWorkInput</vt:lpstr>
      <vt:lpstr>MCFIncCustomWorkTot</vt:lpstr>
      <vt:lpstr>MCFINVChangeInput</vt:lpstr>
      <vt:lpstr>MCFINVChangeTot</vt:lpstr>
      <vt:lpstr>MCFINVCropChangeInput</vt:lpstr>
      <vt:lpstr>MCFINVCropChangeTot</vt:lpstr>
      <vt:lpstr>MCFLivestockBSValInput</vt:lpstr>
      <vt:lpstr>MCFLivestockBSValTot</vt:lpstr>
      <vt:lpstr>MCFNewCredInput</vt:lpstr>
      <vt:lpstr>MCFNewCredTot</vt:lpstr>
      <vt:lpstr>MCFNewOpInput</vt:lpstr>
      <vt:lpstr>MCFNewOpTot</vt:lpstr>
      <vt:lpstr>MCFOthIncomeInput</vt:lpstr>
      <vt:lpstr>MCFOthTot</vt:lpstr>
      <vt:lpstr>MCFPatronageInput</vt:lpstr>
      <vt:lpstr>MCFPatronageTot</vt:lpstr>
      <vt:lpstr>MCFPChildCareInput</vt:lpstr>
      <vt:lpstr>MCFPChildCareTot</vt:lpstr>
      <vt:lpstr>MCFPChildSupportInput</vt:lpstr>
      <vt:lpstr>MCFPChildSupTot</vt:lpstr>
      <vt:lpstr>MCFPClothingInput</vt:lpstr>
      <vt:lpstr>MCFPClothingTot</vt:lpstr>
      <vt:lpstr>MCFPDisInsInput</vt:lpstr>
      <vt:lpstr>MCFPDisInsTot</vt:lpstr>
      <vt:lpstr>MCFPEducationInput</vt:lpstr>
      <vt:lpstr>MCFPEducationTot</vt:lpstr>
      <vt:lpstr>MCFPFoodInput</vt:lpstr>
      <vt:lpstr>MCFPFoodTot</vt:lpstr>
      <vt:lpstr>MCFPGiftsInput</vt:lpstr>
      <vt:lpstr>MCFPGiftsTot</vt:lpstr>
      <vt:lpstr>MCFPIncPersLoansInput</vt:lpstr>
      <vt:lpstr>MCFPIncPersLoansInputLoan</vt:lpstr>
      <vt:lpstr>MCFPIncPersLoansTot</vt:lpstr>
      <vt:lpstr>MCFPIncPersLoansTotLoan</vt:lpstr>
      <vt:lpstr>MCFPIncPersREEInput</vt:lpstr>
      <vt:lpstr>MCFPIncPersREEInputLoan</vt:lpstr>
      <vt:lpstr>MCFPIncPersREETot</vt:lpstr>
      <vt:lpstr>MCFPIncPersREETotLoan</vt:lpstr>
      <vt:lpstr>MCFPIncTaxInput</vt:lpstr>
      <vt:lpstr>MCFPIncTaxTot</vt:lpstr>
      <vt:lpstr>MCFPInsInput</vt:lpstr>
      <vt:lpstr>MCFPInsTot</vt:lpstr>
      <vt:lpstr>MCFPIntIncInput</vt:lpstr>
      <vt:lpstr>MCFPIntIncTot</vt:lpstr>
      <vt:lpstr>MCFPInvestInput</vt:lpstr>
      <vt:lpstr>MCFPInvestTot</vt:lpstr>
      <vt:lpstr>MCFPLifeInsInput</vt:lpstr>
      <vt:lpstr>MCFPLifeInsTot</vt:lpstr>
      <vt:lpstr>MCFPLoanPayInput</vt:lpstr>
      <vt:lpstr>MCFPLoanPayTot</vt:lpstr>
      <vt:lpstr>MCFPMedicalInput</vt:lpstr>
      <vt:lpstr>MCFPMedicalTot</vt:lpstr>
      <vt:lpstr>MCFPMortInput</vt:lpstr>
      <vt:lpstr>MCFPMortTot</vt:lpstr>
      <vt:lpstr>MCFPOthIncTot</vt:lpstr>
      <vt:lpstr>MCFPOthInput</vt:lpstr>
      <vt:lpstr>MCFPOthPayInput</vt:lpstr>
      <vt:lpstr>MCFPOthPayTot</vt:lpstr>
      <vt:lpstr>MCFPOthPurchInput</vt:lpstr>
      <vt:lpstr>MCFPOthPurchTot</vt:lpstr>
      <vt:lpstr>MCFPPersCapPurchInput</vt:lpstr>
      <vt:lpstr>MCFPPersCapPurchTot</vt:lpstr>
      <vt:lpstr>MCFPPersCareInput</vt:lpstr>
      <vt:lpstr>MCFPPersCareTot</vt:lpstr>
      <vt:lpstr>MCFPPersRetirementInput</vt:lpstr>
      <vt:lpstr>MCFPPersRetirementTot</vt:lpstr>
      <vt:lpstr>MCFPPersVehPurchInput</vt:lpstr>
      <vt:lpstr>MCFPPersVehPurchTot</vt:lpstr>
      <vt:lpstr>MCFPPropInsInput</vt:lpstr>
      <vt:lpstr>MCFPPropInsTot</vt:lpstr>
      <vt:lpstr>MCFPRecInput</vt:lpstr>
      <vt:lpstr>MCFPRecTot</vt:lpstr>
      <vt:lpstr>MCFPRETaxesInput</vt:lpstr>
      <vt:lpstr>MCFPRETaxesTot</vt:lpstr>
      <vt:lpstr>MCFPrinInput</vt:lpstr>
      <vt:lpstr>MCFPrinOpInput</vt:lpstr>
      <vt:lpstr>MCFPrinOpTot</vt:lpstr>
      <vt:lpstr>MCFPrinTot</vt:lpstr>
      <vt:lpstr>MCFPSupInput</vt:lpstr>
      <vt:lpstr>MCFPSupTot</vt:lpstr>
      <vt:lpstr>MCFPUtilInput</vt:lpstr>
      <vt:lpstr>MCFPUtilTot</vt:lpstr>
      <vt:lpstr>MCFPVehInput</vt:lpstr>
      <vt:lpstr>MCFPVehTot</vt:lpstr>
      <vt:lpstr>MCFPWageInput</vt:lpstr>
      <vt:lpstr>MCFPWagesTot</vt:lpstr>
      <vt:lpstr>MCFSalesBuildInput</vt:lpstr>
      <vt:lpstr>MCFSalesBuildTot</vt:lpstr>
      <vt:lpstr>MCFSalesCropsInput</vt:lpstr>
      <vt:lpstr>MCFSalesCropTot</vt:lpstr>
      <vt:lpstr>MCFSalesEquipInput</vt:lpstr>
      <vt:lpstr>MCFSalesEquipTot</vt:lpstr>
      <vt:lpstr>MCFSalesLivestockInput</vt:lpstr>
      <vt:lpstr>MCFSalesLivestockProdInput</vt:lpstr>
      <vt:lpstr>MCFSalesLivestockProdTot</vt:lpstr>
      <vt:lpstr>MCFSalesLivestockTot</vt:lpstr>
      <vt:lpstr>MCFSalesVegFruitInput</vt:lpstr>
      <vt:lpstr>MCFSalesVegFruitTot</vt:lpstr>
      <vt:lpstr>MCFValueLaborInput</vt:lpstr>
      <vt:lpstr>MCFValueLaborTot</vt:lpstr>
      <vt:lpstr>MCFVCChemInput</vt:lpstr>
      <vt:lpstr>MCFVCChemTot</vt:lpstr>
      <vt:lpstr>MCFVCCropConsultInput</vt:lpstr>
      <vt:lpstr>MCFVCCropConsultTot</vt:lpstr>
      <vt:lpstr>MCFVCCropInsInput</vt:lpstr>
      <vt:lpstr>MCFVCCropInsTot</vt:lpstr>
      <vt:lpstr>MCFVCCropMarketingInput</vt:lpstr>
      <vt:lpstr>MCFVCCropMarketingTot</vt:lpstr>
      <vt:lpstr>MCFVCCropSuppliesInput</vt:lpstr>
      <vt:lpstr>MCFVCCropSuppliesTot</vt:lpstr>
      <vt:lpstr>MCFVCCustomHireInput</vt:lpstr>
      <vt:lpstr>MCFVCCustomHireTot</vt:lpstr>
      <vt:lpstr>MCFVCDryingInput</vt:lpstr>
      <vt:lpstr>MCFVCDryingTot</vt:lpstr>
      <vt:lpstr>MCFVCFeederLivestockInput</vt:lpstr>
      <vt:lpstr>MCFVCFeederLivestockTot</vt:lpstr>
      <vt:lpstr>MCFVCFertilizerInput</vt:lpstr>
      <vt:lpstr>MCFVCFertilizerTot</vt:lpstr>
      <vt:lpstr>MCFVCFuelInput</vt:lpstr>
      <vt:lpstr>MCFVCFuelTot</vt:lpstr>
      <vt:lpstr>MCFVCGovProgInput</vt:lpstr>
      <vt:lpstr>MCFVCGovProgTot</vt:lpstr>
      <vt:lpstr>MCFVCGrazingInput</vt:lpstr>
      <vt:lpstr>MCFVCGrazingTot</vt:lpstr>
      <vt:lpstr>MCFVCGreenhouseSuppliesInput</vt:lpstr>
      <vt:lpstr>MCFVCGreenhouseSuppliesTot</vt:lpstr>
      <vt:lpstr>MCFVCIrrigationInput</vt:lpstr>
      <vt:lpstr>MCFVCIrrigationTot</vt:lpstr>
      <vt:lpstr>MCFVCLaborInput</vt:lpstr>
      <vt:lpstr>MCFVCLaborTot</vt:lpstr>
      <vt:lpstr>MCFVCLivestockConsultInput</vt:lpstr>
      <vt:lpstr>MCFVCLivestockConsultTot</vt:lpstr>
      <vt:lpstr>MCFVCLivestockInsuranceInput</vt:lpstr>
      <vt:lpstr>MCFVCLivestockInsuranceTot</vt:lpstr>
      <vt:lpstr>MCFVCLivestockMarketingInput</vt:lpstr>
      <vt:lpstr>MCFVCLivestockMarketingTot</vt:lpstr>
      <vt:lpstr>MCFVCLivestockSuppliesInput</vt:lpstr>
      <vt:lpstr>MCFVCLivestockSuppliesTot</vt:lpstr>
      <vt:lpstr>MCFVCOthInput</vt:lpstr>
      <vt:lpstr>MCFVCOthTot</vt:lpstr>
      <vt:lpstr>MCFVCPurchFeedInput</vt:lpstr>
      <vt:lpstr>MCFVCPurchFeedTot</vt:lpstr>
      <vt:lpstr>MCFVCRepairsInput</vt:lpstr>
      <vt:lpstr>MCFVCRepairsTot</vt:lpstr>
      <vt:lpstr>MCFVCSeedInput</vt:lpstr>
      <vt:lpstr>MCFVCSeedTot</vt:lpstr>
      <vt:lpstr>MCFVCStorageInput</vt:lpstr>
      <vt:lpstr>MCFVCStorageTot</vt:lpstr>
      <vt:lpstr>MCFVCTaxesInput</vt:lpstr>
      <vt:lpstr>MCFVCTaxesTot</vt:lpstr>
      <vt:lpstr>MCFVCUtilInput</vt:lpstr>
      <vt:lpstr>MCFVCUtilTot</vt:lpstr>
      <vt:lpstr>MCFVCVetInput</vt:lpstr>
      <vt:lpstr>MCFVCVetTot</vt:lpstr>
      <vt:lpstr>MonthlyIcon1</vt:lpstr>
      <vt:lpstr>Months</vt:lpstr>
      <vt:lpstr>Name</vt:lpstr>
      <vt:lpstr>NCAssetsDetail</vt:lpstr>
      <vt:lpstr>NCBizVehEntry</vt:lpstr>
      <vt:lpstr>NCBizVehTot</vt:lpstr>
      <vt:lpstr>NCBreedLivestockEntry</vt:lpstr>
      <vt:lpstr>NCBreedLivestockTot</vt:lpstr>
      <vt:lpstr>NCBuildingsEntry</vt:lpstr>
      <vt:lpstr>NCBuildingsTot</vt:lpstr>
      <vt:lpstr>NCEquipmentEntry</vt:lpstr>
      <vt:lpstr>NCEquipmentTot</vt:lpstr>
      <vt:lpstr>NCLandEntry</vt:lpstr>
      <vt:lpstr>NCLandTot</vt:lpstr>
      <vt:lpstr>NCOthBizEntry</vt:lpstr>
      <vt:lpstr>NCOthBizTot</vt:lpstr>
      <vt:lpstr>NCOthLiabEntry</vt:lpstr>
      <vt:lpstr>NCOthLiabTot</vt:lpstr>
      <vt:lpstr>NCREEntry</vt:lpstr>
      <vt:lpstr>NCRETot</vt:lpstr>
      <vt:lpstr>NetIncomeAgYear1</vt:lpstr>
      <vt:lpstr>NetIncomeAgYear2</vt:lpstr>
      <vt:lpstr>NetIncomeDMYear1</vt:lpstr>
      <vt:lpstr>NetIncomeDMYear2</vt:lpstr>
      <vt:lpstr>NumberOperators</vt:lpstr>
      <vt:lpstr>NumberOperatorsValue</vt:lpstr>
      <vt:lpstr>PersCashEntry</vt:lpstr>
      <vt:lpstr>PersCashTot</vt:lpstr>
      <vt:lpstr>PersLAPEntry</vt:lpstr>
      <vt:lpstr>PersLAPTot</vt:lpstr>
      <vt:lpstr>PersLCCEntry</vt:lpstr>
      <vt:lpstr>PersLCCTot</vt:lpstr>
      <vt:lpstr>PersLifeInsEntry</vt:lpstr>
      <vt:lpstr>PersLifeInsTot</vt:lpstr>
      <vt:lpstr>PersLoanEntry</vt:lpstr>
      <vt:lpstr>PersLoanRTot</vt:lpstr>
      <vt:lpstr>PersLOthEntry</vt:lpstr>
      <vt:lpstr>PersLOthTot</vt:lpstr>
      <vt:lpstr>PersLTaxesEntry</vt:lpstr>
      <vt:lpstr>PersLTaxesTot</vt:lpstr>
      <vt:lpstr>PersOthEntry</vt:lpstr>
      <vt:lpstr>PersOthTot</vt:lpstr>
      <vt:lpstr>PersPropEntry</vt:lpstr>
      <vt:lpstr>PersPropTot</vt:lpstr>
      <vt:lpstr>PersREEntry</vt:lpstr>
      <vt:lpstr>PersRetireEntry</vt:lpstr>
      <vt:lpstr>PersRetireTot</vt:lpstr>
      <vt:lpstr>PersRETot</vt:lpstr>
      <vt:lpstr>PersStockEntry</vt:lpstr>
      <vt:lpstr>PersStockTot</vt:lpstr>
      <vt:lpstr>PersVehEntry</vt:lpstr>
      <vt:lpstr>PersVehicleTot</vt:lpstr>
      <vt:lpstr>'Cash Flows'!Print_Area</vt:lpstr>
      <vt:lpstr>'Final Balance Sheet'!Print_Area</vt:lpstr>
      <vt:lpstr>'Final Income and Cash Flows'!Print_Area</vt:lpstr>
      <vt:lpstr>'Financial Scorecard'!Print_Area</vt:lpstr>
      <vt:lpstr>ProposedLoans!Print_Area</vt:lpstr>
      <vt:lpstr>'Cash Flows'!Print_Titles</vt:lpstr>
      <vt:lpstr>ProjPersonal</vt:lpstr>
      <vt:lpstr>ProjPersText</vt:lpstr>
      <vt:lpstr>RatiDtoEAGraph</vt:lpstr>
      <vt:lpstr>RatiDtoEALabel</vt:lpstr>
      <vt:lpstr>RatiDtoEAYear1</vt:lpstr>
      <vt:lpstr>RatiDtoEAYear2</vt:lpstr>
      <vt:lpstr>RatiNFIGraph</vt:lpstr>
      <vt:lpstr>RatiNFILabel</vt:lpstr>
      <vt:lpstr>RatiNFIYear1</vt:lpstr>
      <vt:lpstr>RatiNFIYear2</vt:lpstr>
      <vt:lpstr>RatioAssetTOProfitGraph</vt:lpstr>
      <vt:lpstr>RatioAssetTOProfitLabel</vt:lpstr>
      <vt:lpstr>RatioAssetTOProfitYear1</vt:lpstr>
      <vt:lpstr>RatioAssetTOProfitYear2</vt:lpstr>
      <vt:lpstr>RatioCurrentGraph</vt:lpstr>
      <vt:lpstr>RatioCurrentLabel</vt:lpstr>
      <vt:lpstr>RatioCurrentRatioCalc</vt:lpstr>
      <vt:lpstr>RatioCurrentYear1</vt:lpstr>
      <vt:lpstr>RatioCurrentYear2</vt:lpstr>
      <vt:lpstr>RatioDepExGraph</vt:lpstr>
      <vt:lpstr>RatioDepExLabel</vt:lpstr>
      <vt:lpstr>RatioDepExYear1</vt:lpstr>
      <vt:lpstr>RatioDepExYear2</vt:lpstr>
      <vt:lpstr>RatioDtoACalc</vt:lpstr>
      <vt:lpstr>RatioDtoAGraph</vt:lpstr>
      <vt:lpstr>RatioDtoALabel</vt:lpstr>
      <vt:lpstr>RatioDtoAYear1</vt:lpstr>
      <vt:lpstr>RatioDtoAYear2</vt:lpstr>
      <vt:lpstr>RatioDtoECalc</vt:lpstr>
      <vt:lpstr>RatioEtoAGraph</vt:lpstr>
      <vt:lpstr>RatioEtoALabel</vt:lpstr>
      <vt:lpstr>RatioEtoAYear1</vt:lpstr>
      <vt:lpstr>RatioEtoAYear2</vt:lpstr>
      <vt:lpstr>RatioIntExLabel</vt:lpstr>
      <vt:lpstr>RatioIntExpGraph</vt:lpstr>
      <vt:lpstr>RatioIntExYear1</vt:lpstr>
      <vt:lpstr>RatioIntExYear2</vt:lpstr>
      <vt:lpstr>RatioNetIncomeGraph</vt:lpstr>
      <vt:lpstr>RatioNetIncomeLabel</vt:lpstr>
      <vt:lpstr>RatioNetIncomeYear1</vt:lpstr>
      <vt:lpstr>RatioNetIncomeYear2</vt:lpstr>
      <vt:lpstr>RatioOpExGraph</vt:lpstr>
      <vt:lpstr>RatioOpExLabel</vt:lpstr>
      <vt:lpstr>RatioOpExYear1</vt:lpstr>
      <vt:lpstr>RatioOpExYear2</vt:lpstr>
      <vt:lpstr>RatioOpProfitGraph</vt:lpstr>
      <vt:lpstr>RatioOpProfitLabel</vt:lpstr>
      <vt:lpstr>RatioOpProfitYear1</vt:lpstr>
      <vt:lpstr>RatioOpProfitYear2</vt:lpstr>
      <vt:lpstr>RatioROAGraph</vt:lpstr>
      <vt:lpstr>RatioROALabel</vt:lpstr>
      <vt:lpstr>RatioROAYear1</vt:lpstr>
      <vt:lpstr>RatioROAYear2</vt:lpstr>
      <vt:lpstr>RatioROEGraph</vt:lpstr>
      <vt:lpstr>RatioROELabel</vt:lpstr>
      <vt:lpstr>RatioROEYear1</vt:lpstr>
      <vt:lpstr>RatioROEYear2</vt:lpstr>
      <vt:lpstr>RatioTDCProfitGraph</vt:lpstr>
      <vt:lpstr>RatioTDCProfitLabel</vt:lpstr>
      <vt:lpstr>RatioTDCProfitYear1</vt:lpstr>
      <vt:lpstr>RatioTDCProfitYear2</vt:lpstr>
      <vt:lpstr>RatioWCGraph</vt:lpstr>
      <vt:lpstr>RatioWCGRGraph</vt:lpstr>
      <vt:lpstr>RatioWCGRLabel</vt:lpstr>
      <vt:lpstr>RatioWCGRYear1</vt:lpstr>
      <vt:lpstr>RatioWCGRYear2</vt:lpstr>
      <vt:lpstr>RatioWCLabel</vt:lpstr>
      <vt:lpstr>RatioWCYear1</vt:lpstr>
      <vt:lpstr>RatioWCYear2</vt:lpstr>
      <vt:lpstr>RatioWorkingCapCalc</vt:lpstr>
      <vt:lpstr>ScorecardGraphNumber</vt:lpstr>
      <vt:lpstr>'Projected Inventory'!ScorecardGraphs</vt:lpstr>
      <vt:lpstr>ScorecardGraphs</vt:lpstr>
      <vt:lpstr>ScorecardGraphsChoice</vt:lpstr>
      <vt:lpstr>SliderAssetTOProfitGraph</vt:lpstr>
      <vt:lpstr>SliderCurrentGraph</vt:lpstr>
      <vt:lpstr>SliderDepExGraph</vt:lpstr>
      <vt:lpstr>SliderDtoAGraph</vt:lpstr>
      <vt:lpstr>SliderDtoEAGraph</vt:lpstr>
      <vt:lpstr>SliderEtoAGraph</vt:lpstr>
      <vt:lpstr>SliderIntExpGraph</vt:lpstr>
      <vt:lpstr>SliderNetIncomeGraph</vt:lpstr>
      <vt:lpstr>SliderNFIGraph</vt:lpstr>
      <vt:lpstr>SliderOpExGraph</vt:lpstr>
      <vt:lpstr>SliderOpProfitGraph</vt:lpstr>
      <vt:lpstr>SliderROAGraph</vt:lpstr>
      <vt:lpstr>SliderROEGraph</vt:lpstr>
      <vt:lpstr>SliderTDCProfitGraph</vt:lpstr>
      <vt:lpstr>SliderWCGraph</vt:lpstr>
      <vt:lpstr>SliderWCGRGraph</vt:lpstr>
      <vt:lpstr>State</vt:lpstr>
      <vt:lpstr>Year</vt:lpstr>
      <vt:lpstr>Year1</vt:lpstr>
      <vt:lpstr>Year1AccrInt</vt:lpstr>
      <vt:lpstr>Year1BusAssets</vt:lpstr>
      <vt:lpstr>Year1BusAssetsCurrent</vt:lpstr>
      <vt:lpstr>Year1BusLiab</vt:lpstr>
      <vt:lpstr>Year1BusLiabCurrent</vt:lpstr>
      <vt:lpstr>Year1DMOpExp</vt:lpstr>
      <vt:lpstr>Year1GCFI</vt:lpstr>
      <vt:lpstr>Year1GCIDM</vt:lpstr>
      <vt:lpstr>Year1NetWorth</vt:lpstr>
      <vt:lpstr>Year1OpExp</vt:lpstr>
      <vt:lpstr>Year1TermDebtPayments</vt:lpstr>
      <vt:lpstr>Year2</vt:lpstr>
      <vt:lpstr>Year2AccrIntProj</vt:lpstr>
      <vt:lpstr>Year2BusAssetsCurrentProj</vt:lpstr>
      <vt:lpstr>Year2BusAssetsProj</vt:lpstr>
      <vt:lpstr>Year2BusLiabCurrentProj</vt:lpstr>
      <vt:lpstr>Year2BusLiabProj</vt:lpstr>
      <vt:lpstr>Year2DMOpExpProj</vt:lpstr>
      <vt:lpstr>Year2GCFIProj</vt:lpstr>
      <vt:lpstr>Year2GCIDMProj</vt:lpstr>
      <vt:lpstr>Year2NetWorthProj</vt:lpstr>
      <vt:lpstr>Year2OpExpProj</vt:lpstr>
      <vt:lpstr>Year2TermDebtPaymentsProj</vt:lpstr>
      <vt:lpstr>Zip</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L Mahnken</dc:creator>
  <cp:lastModifiedBy>Curtis L Mahnken</cp:lastModifiedBy>
  <cp:lastPrinted>2017-03-10T20:32:24Z</cp:lastPrinted>
  <dcterms:created xsi:type="dcterms:W3CDTF">2006-07-10T06:45:51Z</dcterms:created>
  <dcterms:modified xsi:type="dcterms:W3CDTF">2017-05-01T18:36:58Z</dcterms:modified>
</cp:coreProperties>
</file>